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10" yWindow="-110" windowWidth="16610" windowHeight="9430" activeTab="2"/>
  </bookViews>
  <sheets>
    <sheet name="YOUR JOBS" sheetId="3" r:id="rId1"/>
    <sheet name="ALL JOBS" sheetId="4" r:id="rId2"/>
    <sheet name="Budget" sheetId="2" r:id="rId3"/>
    <sheet name="Sheet1" sheetId="5" state="hidden" r:id="rId4"/>
  </sheets>
  <definedNames>
    <definedName name="JOBS">'ALL JOBS'!$22:$36</definedName>
    <definedName name="_xlnm.Print_Area" localSheetId="1">'ALL JOBS'!$A$1:$H$90</definedName>
    <definedName name="_xlnm.Print_Area" localSheetId="2">Budget!$A$1:$E$43</definedName>
    <definedName name="_xlnm.Print_Area" localSheetId="0">'YOUR JOBS'!$A$1:$AK$20</definedName>
    <definedName name="_xlnm.Print_Titles" localSheetId="1">'ALL JOBS'!$1:$9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2" i="4"/>
  <c r="H71"/>
  <c r="H70"/>
  <c r="J69"/>
  <c r="J70" s="1"/>
  <c r="J71" s="1"/>
  <c r="H69"/>
  <c r="H68"/>
  <c r="H67"/>
  <c r="H66"/>
  <c r="H65"/>
  <c r="H64"/>
  <c r="A64"/>
  <c r="H63"/>
  <c r="H62"/>
  <c r="H61"/>
  <c r="J60"/>
  <c r="J61" s="1"/>
  <c r="J62" s="1"/>
  <c r="J63" s="1"/>
  <c r="H60"/>
  <c r="H59"/>
  <c r="H58"/>
  <c r="H57"/>
  <c r="H56"/>
  <c r="H55"/>
  <c r="J54"/>
  <c r="J55" s="1"/>
  <c r="J56" s="1"/>
  <c r="J57" s="1"/>
  <c r="J58" s="1"/>
  <c r="J59" s="1"/>
  <c r="H54"/>
  <c r="J47"/>
  <c r="H47"/>
  <c r="J46"/>
  <c r="H46"/>
  <c r="J45"/>
  <c r="H45"/>
  <c r="A65" l="1"/>
  <c r="A66"/>
  <c r="A67" s="1"/>
  <c r="H44"/>
  <c r="H53"/>
  <c r="J43"/>
  <c r="H43"/>
  <c r="H42"/>
  <c r="H52"/>
  <c r="H51"/>
  <c r="J50"/>
  <c r="J51" s="1"/>
  <c r="J52" s="1"/>
  <c r="J53" s="1"/>
  <c r="H50"/>
  <c r="H49"/>
  <c r="H30" i="3"/>
  <c r="U30"/>
  <c r="AG30"/>
  <c r="AH30"/>
  <c r="B20" i="2"/>
  <c r="B21"/>
  <c r="B18"/>
  <c r="A68" i="4" l="1"/>
  <c r="H80"/>
  <c r="A69" l="1"/>
  <c r="A70"/>
  <c r="K70" s="1"/>
  <c r="E80"/>
  <c r="G75" s="1"/>
  <c r="B17" i="2"/>
  <c r="A71" i="4" l="1"/>
  <c r="K71" s="1"/>
  <c r="K69"/>
  <c r="H40"/>
  <c r="H39"/>
  <c r="A72" l="1"/>
  <c r="D93" i="3"/>
  <c r="B29" i="2"/>
  <c r="F80" i="4"/>
  <c r="A48" l="1"/>
  <c r="H38" l="1"/>
  <c r="H73"/>
  <c r="D4" i="5" l="1"/>
  <c r="E4" s="1"/>
  <c r="H18" i="4"/>
  <c r="H19" l="1"/>
  <c r="H17"/>
  <c r="H36"/>
  <c r="H37"/>
  <c r="H20"/>
  <c r="H21"/>
  <c r="H22"/>
  <c r="H23"/>
  <c r="H24"/>
  <c r="H25"/>
  <c r="H26"/>
  <c r="H27"/>
  <c r="H28"/>
  <c r="H29"/>
  <c r="H30"/>
  <c r="H31"/>
  <c r="H32"/>
  <c r="H33"/>
  <c r="H34"/>
  <c r="H35"/>
  <c r="A41"/>
  <c r="E6" i="2" l="1"/>
  <c r="B2" l="1"/>
  <c r="G30" i="3"/>
  <c r="T30" l="1"/>
  <c r="D3" i="5"/>
  <c r="E3" s="1"/>
  <c r="E5" s="1"/>
  <c r="AH77" i="3" l="1"/>
  <c r="AG77"/>
  <c r="H77"/>
  <c r="U77" s="1"/>
  <c r="AH76"/>
  <c r="AG76"/>
  <c r="H76"/>
  <c r="U76" s="1"/>
  <c r="AH75"/>
  <c r="AG75"/>
  <c r="H75"/>
  <c r="U75" s="1"/>
  <c r="AH74"/>
  <c r="AG74"/>
  <c r="H74"/>
  <c r="U74" s="1"/>
  <c r="AH73"/>
  <c r="AG73"/>
  <c r="H73"/>
  <c r="U73" s="1"/>
  <c r="AH72"/>
  <c r="AG72"/>
  <c r="H72"/>
  <c r="U72" s="1"/>
  <c r="AH71"/>
  <c r="AG71"/>
  <c r="H71"/>
  <c r="U71" s="1"/>
  <c r="AH70"/>
  <c r="AG70"/>
  <c r="H70"/>
  <c r="U70" s="1"/>
  <c r="AH69"/>
  <c r="AG69"/>
  <c r="H69"/>
  <c r="U69" s="1"/>
  <c r="AH68"/>
  <c r="AG68"/>
  <c r="H68"/>
  <c r="U68" s="1"/>
  <c r="AH67"/>
  <c r="AG67"/>
  <c r="H67"/>
  <c r="U67" s="1"/>
  <c r="AH66"/>
  <c r="AG66"/>
  <c r="H66"/>
  <c r="U66" s="1"/>
  <c r="AH65"/>
  <c r="AG65"/>
  <c r="H65"/>
  <c r="U65" s="1"/>
  <c r="AH64"/>
  <c r="AG64"/>
  <c r="H64"/>
  <c r="U64" s="1"/>
  <c r="AH63"/>
  <c r="AG63"/>
  <c r="H63"/>
  <c r="U63" s="1"/>
  <c r="AH62"/>
  <c r="AG62"/>
  <c r="H62"/>
  <c r="U62" s="1"/>
  <c r="AH61"/>
  <c r="AG61"/>
  <c r="H61"/>
  <c r="U61" s="1"/>
  <c r="AH60"/>
  <c r="AG60"/>
  <c r="H60"/>
  <c r="U60" s="1"/>
  <c r="AH59"/>
  <c r="AG59"/>
  <c r="H59"/>
  <c r="U59" s="1"/>
  <c r="AH58"/>
  <c r="AG58"/>
  <c r="H58"/>
  <c r="U58" s="1"/>
  <c r="AH57"/>
  <c r="AG57"/>
  <c r="H57"/>
  <c r="U57" s="1"/>
  <c r="AH56"/>
  <c r="AG56"/>
  <c r="H56"/>
  <c r="U56" s="1"/>
  <c r="AH55"/>
  <c r="AG55"/>
  <c r="H55"/>
  <c r="U55" s="1"/>
  <c r="AH54"/>
  <c r="AG54"/>
  <c r="H54"/>
  <c r="U54" s="1"/>
  <c r="AH53"/>
  <c r="AG53"/>
  <c r="H53"/>
  <c r="U53" s="1"/>
  <c r="AH52"/>
  <c r="AG52"/>
  <c r="H52"/>
  <c r="U52" s="1"/>
  <c r="AH51"/>
  <c r="AG51"/>
  <c r="H51"/>
  <c r="U51" s="1"/>
  <c r="AH50"/>
  <c r="AG50"/>
  <c r="H50"/>
  <c r="U50" s="1"/>
  <c r="AH49"/>
  <c r="AG49"/>
  <c r="H49"/>
  <c r="U49" s="1"/>
  <c r="AH48"/>
  <c r="AG48"/>
  <c r="H48"/>
  <c r="U48" s="1"/>
  <c r="AH47"/>
  <c r="AG47"/>
  <c r="H47"/>
  <c r="U47" s="1"/>
  <c r="AH46"/>
  <c r="AG46"/>
  <c r="H46"/>
  <c r="U46" s="1"/>
  <c r="AH45"/>
  <c r="AG45"/>
  <c r="H45"/>
  <c r="U45" s="1"/>
  <c r="AH44"/>
  <c r="AG44"/>
  <c r="H44"/>
  <c r="U44" s="1"/>
  <c r="AH43"/>
  <c r="AG43"/>
  <c r="H43"/>
  <c r="U43" s="1"/>
  <c r="AH42"/>
  <c r="AG42"/>
  <c r="H42"/>
  <c r="U42" s="1"/>
  <c r="AH41"/>
  <c r="AG41"/>
  <c r="H41"/>
  <c r="U41" s="1"/>
  <c r="AH40"/>
  <c r="AG40"/>
  <c r="H40"/>
  <c r="U40" s="1"/>
  <c r="AH39"/>
  <c r="AG39"/>
  <c r="H39"/>
  <c r="U39" s="1"/>
  <c r="AH38"/>
  <c r="AG38"/>
  <c r="H38"/>
  <c r="U38" s="1"/>
  <c r="AH37"/>
  <c r="AG37"/>
  <c r="H37"/>
  <c r="U37" s="1"/>
  <c r="AH36"/>
  <c r="AG36"/>
  <c r="H36"/>
  <c r="U36" s="1"/>
  <c r="AH35"/>
  <c r="AG35"/>
  <c r="H35"/>
  <c r="U35" s="1"/>
  <c r="AH34"/>
  <c r="AG34"/>
  <c r="H34"/>
  <c r="U34" s="1"/>
  <c r="AH33"/>
  <c r="AG33"/>
  <c r="H33"/>
  <c r="U33" s="1"/>
  <c r="AH32"/>
  <c r="AG32"/>
  <c r="H32"/>
  <c r="U32" s="1"/>
  <c r="AH31"/>
  <c r="AG31"/>
  <c r="H31"/>
  <c r="U31" s="1"/>
  <c r="AH29"/>
  <c r="AG29"/>
  <c r="H29"/>
  <c r="U29" s="1"/>
  <c r="AH28"/>
  <c r="AG28"/>
  <c r="H28"/>
  <c r="U28" s="1"/>
  <c r="AH27"/>
  <c r="AG27"/>
  <c r="H27"/>
  <c r="U27" s="1"/>
  <c r="AH26"/>
  <c r="AG26"/>
  <c r="H26"/>
  <c r="U26" s="1"/>
  <c r="AH25"/>
  <c r="AG25"/>
  <c r="H25"/>
  <c r="U25" s="1"/>
  <c r="AH24"/>
  <c r="AG24"/>
  <c r="H24"/>
  <c r="U24" s="1"/>
  <c r="AH23"/>
  <c r="AG23"/>
  <c r="H23"/>
  <c r="U23" s="1"/>
  <c r="AH22"/>
  <c r="AG22"/>
  <c r="H22"/>
  <c r="U22" s="1"/>
  <c r="AH21"/>
  <c r="AG21"/>
  <c r="H21"/>
  <c r="U21" s="1"/>
  <c r="AH20"/>
  <c r="AG20"/>
  <c r="H20"/>
  <c r="U20" s="1"/>
  <c r="D95" l="1"/>
  <c r="D94"/>
  <c r="D81"/>
  <c r="A10" i="4"/>
  <c r="E8" i="2"/>
  <c r="AH4" i="3"/>
  <c r="AG4"/>
  <c r="AH5"/>
  <c r="AG5"/>
  <c r="AH6"/>
  <c r="AG6"/>
  <c r="AH7"/>
  <c r="AG7"/>
  <c r="AH8"/>
  <c r="AG8"/>
  <c r="AH9"/>
  <c r="AG9"/>
  <c r="AH10"/>
  <c r="AG10"/>
  <c r="AH11"/>
  <c r="AG11"/>
  <c r="AH12"/>
  <c r="AG12"/>
  <c r="AH13"/>
  <c r="AG13"/>
  <c r="AH14"/>
  <c r="AG14"/>
  <c r="AH15"/>
  <c r="AG15"/>
  <c r="AH16"/>
  <c r="AG16"/>
  <c r="AH17"/>
  <c r="AG17"/>
  <c r="AH18"/>
  <c r="AG18"/>
  <c r="AH19"/>
  <c r="AG19"/>
  <c r="G80" i="4"/>
  <c r="G74" s="1"/>
  <c r="B7" i="2" s="1"/>
  <c r="H19" i="3"/>
  <c r="U19" s="1"/>
  <c r="H18"/>
  <c r="U18" s="1"/>
  <c r="H17"/>
  <c r="U17" s="1"/>
  <c r="H16"/>
  <c r="U16" s="1"/>
  <c r="H15"/>
  <c r="U15" s="1"/>
  <c r="H14"/>
  <c r="U14" s="1"/>
  <c r="H13"/>
  <c r="U13" s="1"/>
  <c r="H12"/>
  <c r="U12" s="1"/>
  <c r="H11"/>
  <c r="U11" s="1"/>
  <c r="H10"/>
  <c r="U10" s="1"/>
  <c r="H9"/>
  <c r="U9" s="1"/>
  <c r="H12" i="4"/>
  <c r="H11"/>
  <c r="H14"/>
  <c r="H13"/>
  <c r="E7" i="2"/>
  <c r="B23"/>
  <c r="B6" s="1"/>
  <c r="E19"/>
  <c r="E9" s="1"/>
  <c r="B1" i="3"/>
  <c r="B3"/>
  <c r="C3"/>
  <c r="D3"/>
  <c r="F3"/>
  <c r="H4"/>
  <c r="U4" s="1"/>
  <c r="W4"/>
  <c r="H5"/>
  <c r="U5" s="1"/>
  <c r="H6"/>
  <c r="U6" s="1"/>
  <c r="H7"/>
  <c r="U7" s="1"/>
  <c r="H8"/>
  <c r="U8" s="1"/>
  <c r="AF78"/>
  <c r="AF79"/>
  <c r="B82"/>
  <c r="B83" s="1"/>
  <c r="M2"/>
  <c r="G76" i="4" l="1"/>
  <c r="B11" i="2"/>
  <c r="E11"/>
  <c r="E14" s="1"/>
  <c r="D83" i="3"/>
  <c r="B84"/>
  <c r="D82"/>
  <c r="B13" i="2" l="1"/>
  <c r="B14" s="1"/>
  <c r="B85" i="3"/>
  <c r="D85" s="1"/>
  <c r="D84"/>
  <c r="D15" i="2" l="1"/>
  <c r="B86" i="3"/>
  <c r="D86" s="1"/>
  <c r="B87" l="1"/>
  <c r="D87" s="1"/>
  <c r="B88" l="1"/>
  <c r="D88" s="1"/>
  <c r="B89" l="1"/>
  <c r="D89" s="1"/>
  <c r="B90" l="1"/>
  <c r="D90" l="1"/>
  <c r="C1"/>
  <c r="B91"/>
  <c r="D91" s="1"/>
  <c r="B92" l="1"/>
  <c r="D92" s="1"/>
  <c r="A1" l="1"/>
  <c r="T76" l="1"/>
  <c r="T74"/>
  <c r="T72"/>
  <c r="T70"/>
  <c r="T68"/>
  <c r="T66"/>
  <c r="T64"/>
  <c r="T62"/>
  <c r="T60"/>
  <c r="T58"/>
  <c r="T56"/>
  <c r="T54"/>
  <c r="T52"/>
  <c r="T50"/>
  <c r="T48"/>
  <c r="T46"/>
  <c r="T44"/>
  <c r="T42"/>
  <c r="T40"/>
  <c r="T38"/>
  <c r="T36"/>
  <c r="T34"/>
  <c r="T32"/>
  <c r="T28"/>
  <c r="T26"/>
  <c r="T24"/>
  <c r="T22"/>
  <c r="T20"/>
  <c r="T18"/>
  <c r="T16"/>
  <c r="T14"/>
  <c r="T12"/>
  <c r="T10"/>
  <c r="T8"/>
  <c r="T6"/>
  <c r="T77"/>
  <c r="T75"/>
  <c r="T73"/>
  <c r="T71"/>
  <c r="T69"/>
  <c r="T67"/>
  <c r="T65"/>
  <c r="T63"/>
  <c r="T61"/>
  <c r="T59"/>
  <c r="T57"/>
  <c r="T55"/>
  <c r="T53"/>
  <c r="T51"/>
  <c r="T49"/>
  <c r="T47"/>
  <c r="T45"/>
  <c r="T43"/>
  <c r="T41"/>
  <c r="T39"/>
  <c r="T37"/>
  <c r="T35"/>
  <c r="T33"/>
  <c r="T31"/>
  <c r="T29"/>
  <c r="T27"/>
  <c r="T25"/>
  <c r="T23"/>
  <c r="T21"/>
  <c r="T19"/>
  <c r="T17"/>
  <c r="T15"/>
  <c r="T13"/>
  <c r="T11"/>
  <c r="T9"/>
  <c r="T7"/>
  <c r="T5"/>
  <c r="T4"/>
  <c r="G74"/>
  <c r="G51"/>
  <c r="G55"/>
  <c r="G63"/>
  <c r="G32"/>
  <c r="G10"/>
  <c r="G46"/>
  <c r="G45"/>
  <c r="G20"/>
  <c r="G18"/>
  <c r="G21"/>
  <c r="G57"/>
  <c r="G66"/>
  <c r="G28"/>
  <c r="G61"/>
  <c r="G13"/>
  <c r="G33"/>
  <c r="G76"/>
  <c r="G77"/>
  <c r="G34"/>
  <c r="G58"/>
  <c r="G70"/>
  <c r="G15"/>
  <c r="G73"/>
  <c r="G41"/>
  <c r="G72"/>
  <c r="G11"/>
  <c r="G19"/>
  <c r="G23"/>
  <c r="G47"/>
  <c r="G44"/>
  <c r="G27"/>
  <c r="G38"/>
  <c r="G12"/>
  <c r="G36"/>
  <c r="G29"/>
  <c r="G17"/>
  <c r="G67"/>
  <c r="G50"/>
  <c r="G31"/>
  <c r="G53"/>
  <c r="G40"/>
  <c r="G7"/>
  <c r="G16"/>
  <c r="G25"/>
  <c r="G4"/>
  <c r="G43"/>
  <c r="G71"/>
  <c r="G75"/>
  <c r="G26"/>
  <c r="G48"/>
  <c r="G6"/>
  <c r="G49"/>
  <c r="G68"/>
  <c r="G24"/>
  <c r="G62"/>
  <c r="G39"/>
  <c r="G14"/>
  <c r="G42"/>
  <c r="G69"/>
  <c r="G37"/>
  <c r="G60"/>
  <c r="G22"/>
  <c r="G54"/>
  <c r="G35"/>
  <c r="G9"/>
  <c r="G65"/>
  <c r="G56"/>
  <c r="G8"/>
  <c r="G52"/>
  <c r="G5"/>
  <c r="G64"/>
  <c r="G59"/>
  <c r="K41" i="4" l="1"/>
  <c r="A11" l="1"/>
  <c r="K11" l="1"/>
  <c r="A12"/>
  <c r="K12" l="1"/>
  <c r="A13"/>
  <c r="K13" s="1"/>
  <c r="A14" l="1"/>
  <c r="K14" l="1"/>
  <c r="A15"/>
  <c r="K15" l="1"/>
  <c r="A16"/>
  <c r="K16" l="1"/>
  <c r="A17"/>
  <c r="K17" l="1"/>
  <c r="A18"/>
  <c r="K18" l="1"/>
  <c r="A19"/>
  <c r="K19" l="1"/>
  <c r="A20"/>
  <c r="K20" l="1"/>
  <c r="A21"/>
  <c r="J11"/>
  <c r="J12" s="1"/>
  <c r="J13" s="1"/>
  <c r="J14" s="1"/>
  <c r="J15" s="1"/>
  <c r="J16" s="1"/>
  <c r="A22" l="1"/>
  <c r="K21"/>
  <c r="J18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17"/>
  <c r="J19" s="1"/>
  <c r="A23" l="1"/>
  <c r="K23" s="1"/>
  <c r="J34"/>
  <c r="J44" s="1"/>
  <c r="J42"/>
  <c r="K22"/>
  <c r="J35"/>
  <c r="J37" s="1"/>
  <c r="A24" l="1"/>
  <c r="A25" s="1"/>
  <c r="A26" s="1"/>
  <c r="J36"/>
  <c r="J41"/>
  <c r="J38"/>
  <c r="K24" l="1"/>
  <c r="J40"/>
  <c r="K26"/>
  <c r="K25"/>
  <c r="A27"/>
  <c r="K27" l="1"/>
  <c r="A28"/>
  <c r="A29" l="1"/>
  <c r="K28"/>
  <c r="A30" l="1"/>
  <c r="A31" s="1"/>
  <c r="K31" s="1"/>
  <c r="K29"/>
  <c r="K30" l="1"/>
  <c r="A32"/>
  <c r="K32" l="1"/>
  <c r="A33"/>
  <c r="K33" l="1"/>
  <c r="A34"/>
  <c r="K34" l="1"/>
  <c r="A35"/>
  <c r="K35" l="1"/>
  <c r="A36"/>
  <c r="K36" l="1"/>
  <c r="A37"/>
  <c r="K37" l="1"/>
  <c r="A38"/>
  <c r="A39" l="1"/>
  <c r="A40" s="1"/>
  <c r="A42" s="1"/>
  <c r="K42" s="1"/>
  <c r="K38"/>
  <c r="A43" l="1"/>
  <c r="K43" s="1"/>
  <c r="K40"/>
  <c r="A44" l="1"/>
  <c r="K44" s="1"/>
  <c r="A45" l="1"/>
  <c r="K45" s="1"/>
  <c r="J48"/>
  <c r="A46" l="1"/>
  <c r="K46" s="1"/>
  <c r="J49"/>
  <c r="A47" l="1"/>
  <c r="A49" s="1"/>
  <c r="K47"/>
  <c r="K49" l="1"/>
  <c r="A50"/>
  <c r="K50" l="1"/>
  <c r="A51"/>
  <c r="K51" l="1"/>
  <c r="A52"/>
  <c r="K52" l="1"/>
  <c r="A53"/>
  <c r="A54" s="1"/>
  <c r="K54" l="1"/>
  <c r="A55"/>
  <c r="K53"/>
  <c r="K55" l="1"/>
  <c r="A56"/>
  <c r="K56" l="1"/>
  <c r="A57"/>
  <c r="K57" l="1"/>
  <c r="A58"/>
  <c r="K58" l="1"/>
  <c r="A59"/>
  <c r="A60" s="1"/>
  <c r="K60" l="1"/>
  <c r="A61"/>
  <c r="K59"/>
  <c r="K61" l="1"/>
  <c r="A62"/>
  <c r="K62" l="1"/>
  <c r="A63"/>
  <c r="K63" l="1"/>
  <c r="A73" l="1"/>
  <c r="K10"/>
  <c r="K4" i="3" s="1"/>
  <c r="J4"/>
  <c r="I4"/>
  <c r="V4" l="1"/>
  <c r="AC4" s="1"/>
  <c r="S4"/>
  <c r="R4"/>
  <c r="AD4"/>
  <c r="L4"/>
  <c r="Q4"/>
  <c r="N4"/>
  <c r="K5"/>
  <c r="P4"/>
  <c r="O4"/>
  <c r="M4"/>
  <c r="E4"/>
  <c r="B4"/>
  <c r="C4"/>
  <c r="A4"/>
  <c r="F4"/>
  <c r="D4"/>
  <c r="J5"/>
  <c r="I5"/>
  <c r="AJ4"/>
  <c r="W5" l="1"/>
  <c r="Z4"/>
  <c r="X4"/>
  <c r="Y4"/>
  <c r="AB4"/>
  <c r="AA4"/>
  <c r="AD5"/>
  <c r="V5"/>
  <c r="Z5" s="1"/>
  <c r="R5"/>
  <c r="S5"/>
  <c r="AF5" s="1"/>
  <c r="M5"/>
  <c r="P5"/>
  <c r="O5"/>
  <c r="N5"/>
  <c r="K6"/>
  <c r="L5"/>
  <c r="Q5"/>
  <c r="AF4"/>
  <c r="I6"/>
  <c r="J6"/>
  <c r="D5"/>
  <c r="E5"/>
  <c r="F5"/>
  <c r="A5"/>
  <c r="C5"/>
  <c r="B5"/>
  <c r="AJ5"/>
  <c r="W6" l="1"/>
  <c r="Y5"/>
  <c r="AA5"/>
  <c r="P6"/>
  <c r="K7"/>
  <c r="M6"/>
  <c r="N6"/>
  <c r="L6"/>
  <c r="Q6"/>
  <c r="O6"/>
  <c r="S6"/>
  <c r="AF6" s="1"/>
  <c r="R6"/>
  <c r="V6"/>
  <c r="AB6" s="1"/>
  <c r="AD6"/>
  <c r="AB5"/>
  <c r="AC5"/>
  <c r="X5"/>
  <c r="J7"/>
  <c r="I7"/>
  <c r="A6"/>
  <c r="B6"/>
  <c r="F6"/>
  <c r="E6"/>
  <c r="C6"/>
  <c r="D6"/>
  <c r="AJ6"/>
  <c r="Z6" l="1"/>
  <c r="Y6"/>
  <c r="X6"/>
  <c r="V7"/>
  <c r="Y7" s="1"/>
  <c r="AD7"/>
  <c r="S7"/>
  <c r="AF7" s="1"/>
  <c r="R7"/>
  <c r="P7"/>
  <c r="L7"/>
  <c r="O7"/>
  <c r="M7"/>
  <c r="Q7"/>
  <c r="K8"/>
  <c r="N7"/>
  <c r="W7"/>
  <c r="AC6"/>
  <c r="AA6"/>
  <c r="AB7"/>
  <c r="A7"/>
  <c r="E7"/>
  <c r="F7"/>
  <c r="B7"/>
  <c r="D7"/>
  <c r="C7"/>
  <c r="I8"/>
  <c r="J8"/>
  <c r="AJ7"/>
  <c r="X7" l="1"/>
  <c r="Z7"/>
  <c r="AC7"/>
  <c r="W8"/>
  <c r="AA7"/>
  <c r="N8"/>
  <c r="K9"/>
  <c r="M8"/>
  <c r="L8"/>
  <c r="Q8"/>
  <c r="P8"/>
  <c r="O8"/>
  <c r="S8"/>
  <c r="R8"/>
  <c r="V8"/>
  <c r="X8" s="1"/>
  <c r="AD8"/>
  <c r="J9"/>
  <c r="I9"/>
  <c r="A8"/>
  <c r="D8"/>
  <c r="C8"/>
  <c r="B8"/>
  <c r="F8"/>
  <c r="E8"/>
  <c r="AJ8"/>
  <c r="Y8" l="1"/>
  <c r="AA8"/>
  <c r="AB8"/>
  <c r="AC8"/>
  <c r="R9"/>
  <c r="S9"/>
  <c r="V9"/>
  <c r="Y9" s="1"/>
  <c r="AD9"/>
  <c r="N9"/>
  <c r="Q9"/>
  <c r="P9"/>
  <c r="L9"/>
  <c r="K10"/>
  <c r="M9"/>
  <c r="O9"/>
  <c r="W9"/>
  <c r="Z8"/>
  <c r="AF8"/>
  <c r="W10"/>
  <c r="AC9"/>
  <c r="I10"/>
  <c r="J10"/>
  <c r="A9"/>
  <c r="D9"/>
  <c r="C9"/>
  <c r="F9"/>
  <c r="B9"/>
  <c r="E9"/>
  <c r="AJ9"/>
  <c r="AA9" l="1"/>
  <c r="AB9"/>
  <c r="X9"/>
  <c r="Z9"/>
  <c r="L10"/>
  <c r="M10"/>
  <c r="Q10"/>
  <c r="K11"/>
  <c r="N10"/>
  <c r="O10"/>
  <c r="P10"/>
  <c r="R10"/>
  <c r="V10"/>
  <c r="AC10" s="1"/>
  <c r="S10"/>
  <c r="AD10"/>
  <c r="AF9"/>
  <c r="AB10"/>
  <c r="I11"/>
  <c r="J11"/>
  <c r="E10"/>
  <c r="C10"/>
  <c r="D10"/>
  <c r="F10"/>
  <c r="B10"/>
  <c r="A10"/>
  <c r="AJ10"/>
  <c r="W11" l="1"/>
  <c r="X10"/>
  <c r="Y10"/>
  <c r="AA10"/>
  <c r="Z10"/>
  <c r="O11"/>
  <c r="K12"/>
  <c r="L11"/>
  <c r="N11"/>
  <c r="M11"/>
  <c r="Q11"/>
  <c r="P11"/>
  <c r="S11"/>
  <c r="AF11" s="1"/>
  <c r="AD11"/>
  <c r="R11"/>
  <c r="V11"/>
  <c r="AC11" s="1"/>
  <c r="AF10"/>
  <c r="W12"/>
  <c r="J12"/>
  <c r="I12"/>
  <c r="D11"/>
  <c r="B11"/>
  <c r="E11"/>
  <c r="C11"/>
  <c r="F11"/>
  <c r="A11"/>
  <c r="AJ11"/>
  <c r="AB11" l="1"/>
  <c r="Y11"/>
  <c r="Z11"/>
  <c r="X11"/>
  <c r="AA11"/>
  <c r="S12"/>
  <c r="AF12" s="1"/>
  <c r="R12"/>
  <c r="AD12"/>
  <c r="V12"/>
  <c r="Y12" s="1"/>
  <c r="M12"/>
  <c r="O12"/>
  <c r="Q12"/>
  <c r="N12"/>
  <c r="P12"/>
  <c r="L12"/>
  <c r="K13"/>
  <c r="AB12"/>
  <c r="C12"/>
  <c r="F12"/>
  <c r="B12"/>
  <c r="E12"/>
  <c r="D12"/>
  <c r="A12"/>
  <c r="I13"/>
  <c r="J13"/>
  <c r="AJ12"/>
  <c r="AA12" l="1"/>
  <c r="X12"/>
  <c r="AC12"/>
  <c r="O13"/>
  <c r="K14"/>
  <c r="P13"/>
  <c r="M13"/>
  <c r="L13"/>
  <c r="N13"/>
  <c r="Q13"/>
  <c r="S13"/>
  <c r="AF13" s="1"/>
  <c r="AD13"/>
  <c r="R13"/>
  <c r="V13"/>
  <c r="AA13" s="1"/>
  <c r="Z12"/>
  <c r="W13"/>
  <c r="J14"/>
  <c r="I14"/>
  <c r="A13"/>
  <c r="D13"/>
  <c r="C13"/>
  <c r="F13"/>
  <c r="B13"/>
  <c r="E13"/>
  <c r="AJ13"/>
  <c r="W14" l="1"/>
  <c r="AC13"/>
  <c r="Y13"/>
  <c r="AB13"/>
  <c r="Z13"/>
  <c r="X13"/>
  <c r="S14"/>
  <c r="AF14" s="1"/>
  <c r="R14"/>
  <c r="AD14"/>
  <c r="V14"/>
  <c r="X14" s="1"/>
  <c r="P14"/>
  <c r="N14"/>
  <c r="L14"/>
  <c r="O14"/>
  <c r="K15"/>
  <c r="M14"/>
  <c r="Q14"/>
  <c r="Z14"/>
  <c r="A14"/>
  <c r="F14"/>
  <c r="D14"/>
  <c r="B14"/>
  <c r="C14"/>
  <c r="E14"/>
  <c r="J15"/>
  <c r="I15"/>
  <c r="AJ14"/>
  <c r="W15" l="1"/>
  <c r="AB14"/>
  <c r="R15"/>
  <c r="V15"/>
  <c r="AA15" s="1"/>
  <c r="AD15"/>
  <c r="S15"/>
  <c r="AF15" s="1"/>
  <c r="L15"/>
  <c r="P15"/>
  <c r="K16"/>
  <c r="M15"/>
  <c r="O15"/>
  <c r="Q15"/>
  <c r="N15"/>
  <c r="AA14"/>
  <c r="AC14"/>
  <c r="Y14"/>
  <c r="J16"/>
  <c r="I16"/>
  <c r="A15"/>
  <c r="D15"/>
  <c r="B15"/>
  <c r="C15"/>
  <c r="E15"/>
  <c r="F15"/>
  <c r="AJ15"/>
  <c r="W16" l="1"/>
  <c r="AB15"/>
  <c r="AC15"/>
  <c r="V16"/>
  <c r="R16"/>
  <c r="AD16"/>
  <c r="S16"/>
  <c r="M16"/>
  <c r="L16"/>
  <c r="O16"/>
  <c r="N16"/>
  <c r="P16"/>
  <c r="K17"/>
  <c r="Q16"/>
  <c r="Y15"/>
  <c r="Z15"/>
  <c r="X15"/>
  <c r="AB16"/>
  <c r="Y16"/>
  <c r="Z16"/>
  <c r="W17"/>
  <c r="AC16"/>
  <c r="X16"/>
  <c r="AA16"/>
  <c r="A16"/>
  <c r="C16"/>
  <c r="F16"/>
  <c r="B16"/>
  <c r="D16"/>
  <c r="E16"/>
  <c r="J17"/>
  <c r="I17"/>
  <c r="AJ16"/>
  <c r="AD17" l="1"/>
  <c r="S17"/>
  <c r="AF17" s="1"/>
  <c r="V17"/>
  <c r="Z17" s="1"/>
  <c r="R17"/>
  <c r="O17"/>
  <c r="M17"/>
  <c r="P17"/>
  <c r="Q17"/>
  <c r="L17"/>
  <c r="K18"/>
  <c r="N17"/>
  <c r="AF16"/>
  <c r="X17"/>
  <c r="A17"/>
  <c r="E17"/>
  <c r="F17"/>
  <c r="B17"/>
  <c r="D17"/>
  <c r="C17"/>
  <c r="J18"/>
  <c r="I18"/>
  <c r="AJ17"/>
  <c r="AA17" l="1"/>
  <c r="AC17"/>
  <c r="W18"/>
  <c r="AB17"/>
  <c r="Y17"/>
  <c r="R18"/>
  <c r="V18"/>
  <c r="W19" s="1"/>
  <c r="S18"/>
  <c r="AF18" s="1"/>
  <c r="AD18"/>
  <c r="N18"/>
  <c r="O18"/>
  <c r="Q18"/>
  <c r="L18"/>
  <c r="P18"/>
  <c r="M18"/>
  <c r="K19"/>
  <c r="AC18"/>
  <c r="A18"/>
  <c r="C18"/>
  <c r="F18"/>
  <c r="D18"/>
  <c r="B18"/>
  <c r="E18"/>
  <c r="J19"/>
  <c r="I19"/>
  <c r="AJ18"/>
  <c r="Z18" l="1"/>
  <c r="X18"/>
  <c r="S19"/>
  <c r="AF19" s="1"/>
  <c r="AD19"/>
  <c r="R19"/>
  <c r="V19"/>
  <c r="W20" s="1"/>
  <c r="P19"/>
  <c r="N19"/>
  <c r="Q19"/>
  <c r="K20"/>
  <c r="M19"/>
  <c r="L19"/>
  <c r="O19"/>
  <c r="AA18"/>
  <c r="AB18"/>
  <c r="Y18"/>
  <c r="A19"/>
  <c r="C19"/>
  <c r="B19"/>
  <c r="F19"/>
  <c r="D19"/>
  <c r="E19"/>
  <c r="J20"/>
  <c r="I20"/>
  <c r="AJ19"/>
  <c r="Y19" l="1"/>
  <c r="AC19"/>
  <c r="AB19"/>
  <c r="Z19"/>
  <c r="S20"/>
  <c r="AF20" s="1"/>
  <c r="AD20"/>
  <c r="V20"/>
  <c r="Z20" s="1"/>
  <c r="R20"/>
  <c r="P20"/>
  <c r="O20"/>
  <c r="M20"/>
  <c r="K21"/>
  <c r="Q20"/>
  <c r="N20"/>
  <c r="L20"/>
  <c r="X19"/>
  <c r="AA19"/>
  <c r="A20"/>
  <c r="B20"/>
  <c r="C20"/>
  <c r="F20"/>
  <c r="E20"/>
  <c r="D20"/>
  <c r="I21"/>
  <c r="J21"/>
  <c r="AJ20"/>
  <c r="AA20" l="1"/>
  <c r="AC20"/>
  <c r="X20"/>
  <c r="W21"/>
  <c r="Y20"/>
  <c r="AB20"/>
  <c r="N21"/>
  <c r="P21"/>
  <c r="Q21"/>
  <c r="M21"/>
  <c r="L21"/>
  <c r="K22"/>
  <c r="O21"/>
  <c r="V21"/>
  <c r="AB21" s="1"/>
  <c r="AD21"/>
  <c r="S21"/>
  <c r="R21"/>
  <c r="AC21"/>
  <c r="J22"/>
  <c r="I22"/>
  <c r="C21"/>
  <c r="E21"/>
  <c r="D21"/>
  <c r="B21"/>
  <c r="F21"/>
  <c r="A21"/>
  <c r="AJ21"/>
  <c r="AA21" l="1"/>
  <c r="X21"/>
  <c r="Z21"/>
  <c r="AD22"/>
  <c r="R22"/>
  <c r="V22"/>
  <c r="X22" s="1"/>
  <c r="S22"/>
  <c r="AF22" s="1"/>
  <c r="Q22"/>
  <c r="L22"/>
  <c r="N22"/>
  <c r="K23"/>
  <c r="P22"/>
  <c r="M22"/>
  <c r="O22"/>
  <c r="W22"/>
  <c r="Y21"/>
  <c r="AF21"/>
  <c r="Z22"/>
  <c r="D22"/>
  <c r="C22"/>
  <c r="F22"/>
  <c r="E22"/>
  <c r="B22"/>
  <c r="A22"/>
  <c r="I23"/>
  <c r="J23"/>
  <c r="AJ22"/>
  <c r="Y22" l="1"/>
  <c r="W23"/>
  <c r="AA22"/>
  <c r="AB22"/>
  <c r="AC22"/>
  <c r="P23"/>
  <c r="N23"/>
  <c r="Q23"/>
  <c r="M23"/>
  <c r="L23"/>
  <c r="O23"/>
  <c r="K24"/>
  <c r="V23"/>
  <c r="AA23" s="1"/>
  <c r="AD23"/>
  <c r="S23"/>
  <c r="AF23" s="1"/>
  <c r="R23"/>
  <c r="X23"/>
  <c r="I24"/>
  <c r="J24"/>
  <c r="C23"/>
  <c r="D23"/>
  <c r="B23"/>
  <c r="F23"/>
  <c r="A23"/>
  <c r="E23"/>
  <c r="AJ23"/>
  <c r="Y23" l="1"/>
  <c r="Z23"/>
  <c r="P24"/>
  <c r="K25"/>
  <c r="L24"/>
  <c r="N24"/>
  <c r="M24"/>
  <c r="Q24"/>
  <c r="O24"/>
  <c r="S24"/>
  <c r="V24"/>
  <c r="AA24" s="1"/>
  <c r="R24"/>
  <c r="AD24"/>
  <c r="AC23"/>
  <c r="W24"/>
  <c r="AB23"/>
  <c r="X24"/>
  <c r="I25"/>
  <c r="J25"/>
  <c r="A24"/>
  <c r="F24"/>
  <c r="C24"/>
  <c r="B24"/>
  <c r="D24"/>
  <c r="E24"/>
  <c r="AJ24"/>
  <c r="AC24" l="1"/>
  <c r="Y24"/>
  <c r="Z24"/>
  <c r="W25"/>
  <c r="AB24"/>
  <c r="K26"/>
  <c r="Q25"/>
  <c r="M25"/>
  <c r="L25"/>
  <c r="P25"/>
  <c r="N25"/>
  <c r="O25"/>
  <c r="AD25"/>
  <c r="R25"/>
  <c r="V25"/>
  <c r="S25"/>
  <c r="AF24"/>
  <c r="J26"/>
  <c r="I26"/>
  <c r="F25"/>
  <c r="D25"/>
  <c r="B25"/>
  <c r="C25"/>
  <c r="E25"/>
  <c r="A25"/>
  <c r="AJ25"/>
  <c r="AD26" l="1"/>
  <c r="S26"/>
  <c r="V26"/>
  <c r="W27" s="1"/>
  <c r="R26"/>
  <c r="Q26"/>
  <c r="O26"/>
  <c r="N26"/>
  <c r="P26"/>
  <c r="M26"/>
  <c r="L26"/>
  <c r="K27"/>
  <c r="Y25"/>
  <c r="AA25"/>
  <c r="W26"/>
  <c r="AB25"/>
  <c r="AC25"/>
  <c r="Z25"/>
  <c r="X25"/>
  <c r="AF25"/>
  <c r="A26"/>
  <c r="AJ26"/>
  <c r="C26"/>
  <c r="F26"/>
  <c r="E26"/>
  <c r="J27"/>
  <c r="D26"/>
  <c r="I27"/>
  <c r="B26"/>
  <c r="X26" l="1"/>
  <c r="AB26"/>
  <c r="AC26"/>
  <c r="Y26"/>
  <c r="AA26"/>
  <c r="Z26"/>
  <c r="AF26"/>
  <c r="L27"/>
  <c r="Q27"/>
  <c r="K28"/>
  <c r="M27"/>
  <c r="P27"/>
  <c r="O27"/>
  <c r="N27"/>
  <c r="S27"/>
  <c r="AD27"/>
  <c r="R27"/>
  <c r="V27"/>
  <c r="A27"/>
  <c r="AJ27"/>
  <c r="W28" l="1"/>
  <c r="AA27"/>
  <c r="Z27"/>
  <c r="Y27"/>
  <c r="AB27"/>
  <c r="AC27"/>
  <c r="X27"/>
  <c r="AF27"/>
  <c r="E27"/>
  <c r="F27"/>
  <c r="D27"/>
  <c r="J28"/>
  <c r="C27"/>
  <c r="I28"/>
  <c r="B27"/>
  <c r="AD28" l="1"/>
  <c r="S28"/>
  <c r="R28"/>
  <c r="N28"/>
  <c r="P28"/>
  <c r="L28"/>
  <c r="O28"/>
  <c r="Q28"/>
  <c r="M28"/>
  <c r="K29"/>
  <c r="V28"/>
  <c r="A28"/>
  <c r="AJ28"/>
  <c r="AC28" l="1"/>
  <c r="AA28"/>
  <c r="Y28"/>
  <c r="AB28"/>
  <c r="W29"/>
  <c r="Z28"/>
  <c r="X28"/>
  <c r="AF28"/>
  <c r="D28"/>
  <c r="C28"/>
  <c r="F28"/>
  <c r="J29"/>
  <c r="B28"/>
  <c r="I29"/>
  <c r="E28"/>
  <c r="K30" l="1"/>
  <c r="R29"/>
  <c r="AD29"/>
  <c r="S29"/>
  <c r="M29"/>
  <c r="Q29"/>
  <c r="L29"/>
  <c r="P29"/>
  <c r="O29"/>
  <c r="N29"/>
  <c r="V29"/>
  <c r="W30" s="1"/>
  <c r="A29"/>
  <c r="I30"/>
  <c r="J30"/>
  <c r="AJ29"/>
  <c r="R30" l="1"/>
  <c r="V30"/>
  <c r="AD30"/>
  <c r="S30"/>
  <c r="L30"/>
  <c r="N30"/>
  <c r="P30"/>
  <c r="M30"/>
  <c r="O30"/>
  <c r="Q30"/>
  <c r="Z29"/>
  <c r="Y29"/>
  <c r="AB29"/>
  <c r="X29"/>
  <c r="AA29"/>
  <c r="AC29"/>
  <c r="AF29"/>
  <c r="A30"/>
  <c r="E30"/>
  <c r="C30"/>
  <c r="AJ30"/>
  <c r="E29"/>
  <c r="B29"/>
  <c r="F29"/>
  <c r="F30"/>
  <c r="D30"/>
  <c r="B30"/>
  <c r="D29"/>
  <c r="C29"/>
  <c r="AF30" l="1"/>
  <c r="X30"/>
  <c r="Z30"/>
  <c r="AB30"/>
  <c r="Y30"/>
  <c r="AA30"/>
  <c r="AC30"/>
  <c r="K31"/>
  <c r="W31" l="1"/>
  <c r="J31"/>
  <c r="I31"/>
  <c r="M31" l="1"/>
  <c r="L31"/>
  <c r="K32"/>
  <c r="N31"/>
  <c r="O31"/>
  <c r="P31"/>
  <c r="Q31"/>
  <c r="R31"/>
  <c r="AD31"/>
  <c r="S31"/>
  <c r="V31"/>
  <c r="A31"/>
  <c r="AJ31"/>
  <c r="AB31" l="1"/>
  <c r="X31"/>
  <c r="Z31"/>
  <c r="AA31"/>
  <c r="W32"/>
  <c r="Y31"/>
  <c r="AC31"/>
  <c r="AF31"/>
  <c r="D31"/>
  <c r="E31"/>
  <c r="J32"/>
  <c r="B31"/>
  <c r="F31"/>
  <c r="C31"/>
  <c r="I32"/>
  <c r="K33" l="1"/>
  <c r="L32"/>
  <c r="M32"/>
  <c r="P32"/>
  <c r="N32"/>
  <c r="Q32"/>
  <c r="O32"/>
  <c r="R32"/>
  <c r="AD32"/>
  <c r="S32"/>
  <c r="V32"/>
  <c r="A32"/>
  <c r="AJ32"/>
  <c r="Y32" l="1"/>
  <c r="W33"/>
  <c r="AA32"/>
  <c r="AC32"/>
  <c r="AB32"/>
  <c r="X32"/>
  <c r="Z32"/>
  <c r="AF32"/>
  <c r="C32"/>
  <c r="E32"/>
  <c r="B32"/>
  <c r="F32"/>
  <c r="D32"/>
  <c r="I33"/>
  <c r="J33"/>
  <c r="R33" l="1"/>
  <c r="S33"/>
  <c r="AD33"/>
  <c r="M33"/>
  <c r="O33"/>
  <c r="N33"/>
  <c r="Q33"/>
  <c r="P33"/>
  <c r="K34"/>
  <c r="L33"/>
  <c r="V33"/>
  <c r="A33"/>
  <c r="AJ33"/>
  <c r="AB33" l="1"/>
  <c r="AA33"/>
  <c r="AC33"/>
  <c r="Z33"/>
  <c r="X33"/>
  <c r="W34"/>
  <c r="Y33"/>
  <c r="AF33"/>
  <c r="B33"/>
  <c r="F33"/>
  <c r="D33"/>
  <c r="C33"/>
  <c r="E33"/>
  <c r="J34"/>
  <c r="I34"/>
  <c r="AD34" l="1"/>
  <c r="S34"/>
  <c r="R34"/>
  <c r="K35"/>
  <c r="P34"/>
  <c r="M34"/>
  <c r="Q34"/>
  <c r="N34"/>
  <c r="O34"/>
  <c r="L34"/>
  <c r="V34"/>
  <c r="A34"/>
  <c r="AJ34"/>
  <c r="AB34" l="1"/>
  <c r="X34"/>
  <c r="Z34"/>
  <c r="Y34"/>
  <c r="W35"/>
  <c r="AC34"/>
  <c r="AA34"/>
  <c r="AF34"/>
  <c r="F34"/>
  <c r="E34"/>
  <c r="C34"/>
  <c r="B34"/>
  <c r="D34"/>
  <c r="J35"/>
  <c r="I35"/>
  <c r="M35" l="1"/>
  <c r="L35"/>
  <c r="P35"/>
  <c r="K36"/>
  <c r="O35"/>
  <c r="N35"/>
  <c r="Q35"/>
  <c r="AD35"/>
  <c r="S35"/>
  <c r="A35" s="1"/>
  <c r="R35"/>
  <c r="V35"/>
  <c r="AJ35"/>
  <c r="AC35" l="1"/>
  <c r="AB35"/>
  <c r="W36"/>
  <c r="Y35"/>
  <c r="Z35"/>
  <c r="AA35"/>
  <c r="X35"/>
  <c r="AF35"/>
  <c r="C35"/>
  <c r="D35"/>
  <c r="B35"/>
  <c r="E35"/>
  <c r="F35"/>
  <c r="I36"/>
  <c r="J36"/>
  <c r="AD36" l="1"/>
  <c r="S36"/>
  <c r="A36" s="1"/>
  <c r="R36"/>
  <c r="K37"/>
  <c r="O36"/>
  <c r="Q36"/>
  <c r="M36"/>
  <c r="L36"/>
  <c r="N36"/>
  <c r="P36"/>
  <c r="V36"/>
  <c r="AJ36"/>
  <c r="AC36" l="1"/>
  <c r="AA36"/>
  <c r="W37"/>
  <c r="X36"/>
  <c r="Y36"/>
  <c r="AB36"/>
  <c r="Z36"/>
  <c r="AF36"/>
  <c r="D36"/>
  <c r="C36"/>
  <c r="F36"/>
  <c r="B36"/>
  <c r="E36"/>
  <c r="I37"/>
  <c r="J37"/>
  <c r="N37" l="1"/>
  <c r="O37"/>
  <c r="Q37"/>
  <c r="L37"/>
  <c r="P37"/>
  <c r="M37"/>
  <c r="K38"/>
  <c r="S37"/>
  <c r="R37"/>
  <c r="AD37"/>
  <c r="A37"/>
  <c r="V37"/>
  <c r="AJ37"/>
  <c r="W38" l="1"/>
  <c r="AB37"/>
  <c r="AA37"/>
  <c r="AC37"/>
  <c r="Y37"/>
  <c r="Z37"/>
  <c r="X37"/>
  <c r="AF37"/>
  <c r="F37"/>
  <c r="C37"/>
  <c r="D37"/>
  <c r="B37"/>
  <c r="E37"/>
  <c r="I38"/>
  <c r="J38"/>
  <c r="R38" l="1"/>
  <c r="AD38"/>
  <c r="S38"/>
  <c r="P38"/>
  <c r="O38"/>
  <c r="L38"/>
  <c r="N38"/>
  <c r="M38"/>
  <c r="Q38"/>
  <c r="K39"/>
  <c r="A38"/>
  <c r="V38"/>
  <c r="AJ38"/>
  <c r="X38" l="1"/>
  <c r="AC38"/>
  <c r="Z38"/>
  <c r="AB38"/>
  <c r="W39"/>
  <c r="AA38"/>
  <c r="Y38"/>
  <c r="AF38"/>
  <c r="D38"/>
  <c r="E38"/>
  <c r="C38"/>
  <c r="B38"/>
  <c r="F38"/>
  <c r="J39"/>
  <c r="I39"/>
  <c r="O39" l="1"/>
  <c r="K40"/>
  <c r="L39"/>
  <c r="Q39"/>
  <c r="P39"/>
  <c r="N39"/>
  <c r="M39"/>
  <c r="R39"/>
  <c r="S39"/>
  <c r="AD39"/>
  <c r="AJ39"/>
  <c r="V39"/>
  <c r="AA39" l="1"/>
  <c r="AC39"/>
  <c r="AB39"/>
  <c r="W40"/>
  <c r="Z39"/>
  <c r="X39"/>
  <c r="Y39"/>
  <c r="AF39"/>
  <c r="D39"/>
  <c r="E39"/>
  <c r="B39"/>
  <c r="C39"/>
  <c r="A39"/>
  <c r="F39"/>
  <c r="I40"/>
  <c r="J40"/>
  <c r="R40" l="1"/>
  <c r="AD40"/>
  <c r="S40"/>
  <c r="P40"/>
  <c r="N40"/>
  <c r="L40"/>
  <c r="Q40"/>
  <c r="K41"/>
  <c r="M40"/>
  <c r="O40"/>
  <c r="AJ40"/>
  <c r="V40"/>
  <c r="Z40" l="1"/>
  <c r="Y40"/>
  <c r="W41"/>
  <c r="AC40"/>
  <c r="AA40"/>
  <c r="AB40"/>
  <c r="X40"/>
  <c r="AF40"/>
  <c r="A40"/>
  <c r="C40"/>
  <c r="B40"/>
  <c r="D40"/>
  <c r="F40"/>
  <c r="E40"/>
  <c r="J41"/>
  <c r="I41"/>
  <c r="O41" l="1"/>
  <c r="K42"/>
  <c r="N41"/>
  <c r="P41"/>
  <c r="L41"/>
  <c r="Q41"/>
  <c r="M41"/>
  <c r="AD41"/>
  <c r="R41"/>
  <c r="S41"/>
  <c r="AJ41"/>
  <c r="V41"/>
  <c r="X41" l="1"/>
  <c r="W42"/>
  <c r="Y41"/>
  <c r="Z41"/>
  <c r="AB41"/>
  <c r="AC41"/>
  <c r="AA41"/>
  <c r="AF41"/>
  <c r="D41"/>
  <c r="B41"/>
  <c r="A41"/>
  <c r="C41"/>
  <c r="E41"/>
  <c r="F41"/>
  <c r="I42"/>
  <c r="J42"/>
  <c r="AD42" l="1"/>
  <c r="R42"/>
  <c r="S42"/>
  <c r="O42"/>
  <c r="Q42"/>
  <c r="L42"/>
  <c r="K43"/>
  <c r="P42"/>
  <c r="M42"/>
  <c r="N42"/>
  <c r="V42"/>
  <c r="AJ42"/>
  <c r="X42" l="1"/>
  <c r="W43"/>
  <c r="AB42"/>
  <c r="Z42"/>
  <c r="Y42"/>
  <c r="AC42"/>
  <c r="AA42"/>
  <c r="AF42"/>
  <c r="D42"/>
  <c r="E42"/>
  <c r="C42"/>
  <c r="A42"/>
  <c r="F42"/>
  <c r="B42"/>
  <c r="I43"/>
  <c r="J43"/>
  <c r="K44" l="1"/>
  <c r="M43"/>
  <c r="P43"/>
  <c r="L43"/>
  <c r="N43"/>
  <c r="Q43"/>
  <c r="O43"/>
  <c r="S43"/>
  <c r="AD43"/>
  <c r="R43"/>
  <c r="AJ43"/>
  <c r="V43"/>
  <c r="Y43" l="1"/>
  <c r="AC43"/>
  <c r="X43"/>
  <c r="AB43"/>
  <c r="W44"/>
  <c r="AA43"/>
  <c r="Z43"/>
  <c r="AF43"/>
  <c r="D43"/>
  <c r="E43"/>
  <c r="F43"/>
  <c r="A43"/>
  <c r="C43"/>
  <c r="B43"/>
  <c r="J44"/>
  <c r="I44"/>
  <c r="P44" l="1"/>
  <c r="L44"/>
  <c r="Q44"/>
  <c r="N44"/>
  <c r="K45"/>
  <c r="M44"/>
  <c r="O44"/>
  <c r="AD44"/>
  <c r="R44"/>
  <c r="S44"/>
  <c r="AJ44"/>
  <c r="V44"/>
  <c r="W45" l="1"/>
  <c r="AB44"/>
  <c r="AA44"/>
  <c r="Z44"/>
  <c r="Y44"/>
  <c r="X44"/>
  <c r="AC44"/>
  <c r="AF44"/>
  <c r="D44"/>
  <c r="B44"/>
  <c r="F44"/>
  <c r="E44"/>
  <c r="A44"/>
  <c r="C44"/>
  <c r="J45"/>
  <c r="I45"/>
  <c r="P45" l="1"/>
  <c r="Q45"/>
  <c r="N45"/>
  <c r="L45"/>
  <c r="O45"/>
  <c r="M45"/>
  <c r="K46"/>
  <c r="S45"/>
  <c r="R45"/>
  <c r="AD45"/>
  <c r="AJ45"/>
  <c r="V45"/>
  <c r="AC45" l="1"/>
  <c r="Z45"/>
  <c r="W46"/>
  <c r="AB45"/>
  <c r="X45"/>
  <c r="Y45"/>
  <c r="AA45"/>
  <c r="AF45"/>
  <c r="E45"/>
  <c r="D45"/>
  <c r="A45"/>
  <c r="B45"/>
  <c r="C45"/>
  <c r="F45"/>
  <c r="I46"/>
  <c r="J46"/>
  <c r="R46" l="1"/>
  <c r="S46"/>
  <c r="AD46"/>
  <c r="O46"/>
  <c r="L46"/>
  <c r="Q46"/>
  <c r="M46"/>
  <c r="P46"/>
  <c r="K47"/>
  <c r="N46"/>
  <c r="AJ46"/>
  <c r="V46"/>
  <c r="X46" l="1"/>
  <c r="Y46"/>
  <c r="AA46"/>
  <c r="W47"/>
  <c r="AC46"/>
  <c r="Z46"/>
  <c r="AB46"/>
  <c r="AF46"/>
  <c r="E46"/>
  <c r="C46"/>
  <c r="A46"/>
  <c r="B46"/>
  <c r="F46"/>
  <c r="D46"/>
  <c r="I47"/>
  <c r="J47"/>
  <c r="S47" l="1"/>
  <c r="AD47"/>
  <c r="R47"/>
  <c r="N47"/>
  <c r="K48"/>
  <c r="O47"/>
  <c r="M47"/>
  <c r="Q47"/>
  <c r="P47"/>
  <c r="L47"/>
  <c r="AJ47"/>
  <c r="V47"/>
  <c r="Z47" l="1"/>
  <c r="AC47"/>
  <c r="Y47"/>
  <c r="AB47"/>
  <c r="W48"/>
  <c r="X47"/>
  <c r="AA47"/>
  <c r="AF47"/>
  <c r="A47"/>
  <c r="B47"/>
  <c r="E47"/>
  <c r="F47"/>
  <c r="C47"/>
  <c r="D47"/>
  <c r="J48"/>
  <c r="I48"/>
  <c r="R48" l="1"/>
  <c r="AD48"/>
  <c r="S48"/>
  <c r="P48"/>
  <c r="Q48"/>
  <c r="M48"/>
  <c r="O48"/>
  <c r="N48"/>
  <c r="K49"/>
  <c r="L48"/>
  <c r="AJ48"/>
  <c r="V48"/>
  <c r="X48" l="1"/>
  <c r="AA48"/>
  <c r="AB48"/>
  <c r="Y48"/>
  <c r="AC48"/>
  <c r="Z48"/>
  <c r="W49"/>
  <c r="AF48"/>
  <c r="D48"/>
  <c r="B48"/>
  <c r="C48"/>
  <c r="E48"/>
  <c r="A48"/>
  <c r="F48"/>
  <c r="J49"/>
  <c r="I49"/>
  <c r="S49" l="1"/>
  <c r="R49"/>
  <c r="AD49"/>
  <c r="K50"/>
  <c r="Q49"/>
  <c r="M49"/>
  <c r="P49"/>
  <c r="N49"/>
  <c r="L49"/>
  <c r="O49"/>
  <c r="AJ49"/>
  <c r="V49"/>
  <c r="AB49" l="1"/>
  <c r="X49"/>
  <c r="AA49"/>
  <c r="Z49"/>
  <c r="AC49"/>
  <c r="Y49"/>
  <c r="W50"/>
  <c r="AF49"/>
  <c r="B49"/>
  <c r="D49"/>
  <c r="E49"/>
  <c r="A49"/>
  <c r="C49"/>
  <c r="F49"/>
  <c r="J50"/>
  <c r="I50"/>
  <c r="R50" l="1"/>
  <c r="AD50"/>
  <c r="S50"/>
  <c r="L50"/>
  <c r="O50"/>
  <c r="P50"/>
  <c r="K51"/>
  <c r="N50"/>
  <c r="M50"/>
  <c r="Q50"/>
  <c r="V50"/>
  <c r="AJ50"/>
  <c r="Y50" l="1"/>
  <c r="AB50"/>
  <c r="W51"/>
  <c r="X50"/>
  <c r="AC50"/>
  <c r="AA50"/>
  <c r="Z50"/>
  <c r="AF50"/>
  <c r="B50"/>
  <c r="D50"/>
  <c r="C50"/>
  <c r="E50"/>
  <c r="F50"/>
  <c r="A50"/>
  <c r="I51"/>
  <c r="J51"/>
  <c r="K52" l="1"/>
  <c r="M51"/>
  <c r="Q51"/>
  <c r="P51"/>
  <c r="O51"/>
  <c r="N51"/>
  <c r="L51"/>
  <c r="R51"/>
  <c r="AD51"/>
  <c r="S51"/>
  <c r="AJ51"/>
  <c r="V51"/>
  <c r="W52" l="1"/>
  <c r="Y51"/>
  <c r="AC51"/>
  <c r="X51"/>
  <c r="AA51"/>
  <c r="AB51"/>
  <c r="Z51"/>
  <c r="AF51"/>
  <c r="D51"/>
  <c r="C51"/>
  <c r="B51"/>
  <c r="F51"/>
  <c r="A51"/>
  <c r="E51"/>
  <c r="I52"/>
  <c r="J52"/>
  <c r="R52" l="1"/>
  <c r="AD52"/>
  <c r="S52"/>
  <c r="K53"/>
  <c r="M52"/>
  <c r="L52"/>
  <c r="Q52"/>
  <c r="N52"/>
  <c r="O52"/>
  <c r="P52"/>
  <c r="V52"/>
  <c r="AJ52"/>
  <c r="X52" l="1"/>
  <c r="Y52"/>
  <c r="Z52"/>
  <c r="W53"/>
  <c r="AC52"/>
  <c r="AB52"/>
  <c r="AA52"/>
  <c r="AF52"/>
  <c r="E52"/>
  <c r="A52"/>
  <c r="D52"/>
  <c r="C52"/>
  <c r="B52"/>
  <c r="F52"/>
  <c r="I53"/>
  <c r="J53"/>
  <c r="R53" l="1"/>
  <c r="S53"/>
  <c r="AD53"/>
  <c r="Q53"/>
  <c r="L53"/>
  <c r="M53"/>
  <c r="O53"/>
  <c r="N53"/>
  <c r="K54"/>
  <c r="P53"/>
  <c r="AJ53"/>
  <c r="V53"/>
  <c r="Y53" l="1"/>
  <c r="AC53"/>
  <c r="W54"/>
  <c r="Z53"/>
  <c r="X53"/>
  <c r="AA53"/>
  <c r="AB53"/>
  <c r="AF53"/>
  <c r="B53"/>
  <c r="E53"/>
  <c r="A53"/>
  <c r="F53"/>
  <c r="D53"/>
  <c r="C53"/>
  <c r="I54"/>
  <c r="J54"/>
  <c r="R54" l="1"/>
  <c r="AD54"/>
  <c r="S54"/>
  <c r="O54"/>
  <c r="P54"/>
  <c r="L54"/>
  <c r="K55"/>
  <c r="M54"/>
  <c r="N54"/>
  <c r="Q54"/>
  <c r="V54"/>
  <c r="AJ54"/>
  <c r="Y54" l="1"/>
  <c r="W55"/>
  <c r="X54"/>
  <c r="Z54"/>
  <c r="AB54"/>
  <c r="AC54"/>
  <c r="AA54"/>
  <c r="AF54"/>
  <c r="E54"/>
  <c r="A54"/>
  <c r="B54"/>
  <c r="C54"/>
  <c r="D54"/>
  <c r="F54"/>
  <c r="I55"/>
  <c r="J55"/>
  <c r="K56" l="1"/>
  <c r="P55"/>
  <c r="M55"/>
  <c r="Q55"/>
  <c r="L55"/>
  <c r="O55"/>
  <c r="N55"/>
  <c r="AD55"/>
  <c r="R55"/>
  <c r="S55"/>
  <c r="AJ55"/>
  <c r="V55"/>
  <c r="AC55" l="1"/>
  <c r="Z55"/>
  <c r="Y55"/>
  <c r="AA55"/>
  <c r="W56"/>
  <c r="AB55"/>
  <c r="X55"/>
  <c r="AF55"/>
  <c r="E55"/>
  <c r="C55"/>
  <c r="A55"/>
  <c r="B55"/>
  <c r="F55"/>
  <c r="D55"/>
  <c r="J56"/>
  <c r="I56"/>
  <c r="R56" l="1"/>
  <c r="AD56"/>
  <c r="S56"/>
  <c r="N56"/>
  <c r="O56"/>
  <c r="M56"/>
  <c r="Q56"/>
  <c r="P56"/>
  <c r="K57"/>
  <c r="L56"/>
  <c r="AJ56"/>
  <c r="V56"/>
  <c r="AB56" l="1"/>
  <c r="Z56"/>
  <c r="Y56"/>
  <c r="AA56"/>
  <c r="X56"/>
  <c r="AC56"/>
  <c r="W57"/>
  <c r="AF56"/>
  <c r="A56"/>
  <c r="C56"/>
  <c r="D56"/>
  <c r="E56"/>
  <c r="B56"/>
  <c r="F56"/>
  <c r="I57"/>
  <c r="J57"/>
  <c r="K58" l="1"/>
  <c r="N57"/>
  <c r="P57"/>
  <c r="M57"/>
  <c r="Q57"/>
  <c r="L57"/>
  <c r="O57"/>
  <c r="AD57"/>
  <c r="S57"/>
  <c r="R57"/>
  <c r="V57"/>
  <c r="AJ57"/>
  <c r="AA57" l="1"/>
  <c r="W58"/>
  <c r="Z57"/>
  <c r="AC57"/>
  <c r="X57"/>
  <c r="Y57"/>
  <c r="AB57"/>
  <c r="AF57"/>
  <c r="F57"/>
  <c r="D57"/>
  <c r="E57"/>
  <c r="C57"/>
  <c r="B57"/>
  <c r="A57"/>
  <c r="J58"/>
  <c r="I58"/>
  <c r="S58" l="1"/>
  <c r="R58"/>
  <c r="AD58"/>
  <c r="K59"/>
  <c r="P58"/>
  <c r="O58"/>
  <c r="Q58"/>
  <c r="M58"/>
  <c r="L58"/>
  <c r="N58"/>
  <c r="V58"/>
  <c r="AJ58"/>
  <c r="W59" l="1"/>
  <c r="AB58"/>
  <c r="X58"/>
  <c r="AC58"/>
  <c r="AA58"/>
  <c r="Y58"/>
  <c r="Z58"/>
  <c r="AF58"/>
  <c r="B58"/>
  <c r="C58"/>
  <c r="E58"/>
  <c r="F58"/>
  <c r="A58"/>
  <c r="D58"/>
  <c r="J59"/>
  <c r="I59"/>
  <c r="AD59" l="1"/>
  <c r="R59"/>
  <c r="S59"/>
  <c r="K60"/>
  <c r="M59"/>
  <c r="P59"/>
  <c r="Q59"/>
  <c r="N59"/>
  <c r="L59"/>
  <c r="O59"/>
  <c r="AJ59"/>
  <c r="V59"/>
  <c r="Z59" l="1"/>
  <c r="AA59"/>
  <c r="AB59"/>
  <c r="Y59"/>
  <c r="W60"/>
  <c r="AC59"/>
  <c r="X59"/>
  <c r="AF59"/>
  <c r="B59"/>
  <c r="C59"/>
  <c r="E59"/>
  <c r="A59"/>
  <c r="D59"/>
  <c r="F59"/>
  <c r="J60"/>
  <c r="I60"/>
  <c r="AD60" l="1"/>
  <c r="R60"/>
  <c r="S60"/>
  <c r="N60"/>
  <c r="K61"/>
  <c r="Q60"/>
  <c r="P60"/>
  <c r="M60"/>
  <c r="L60"/>
  <c r="O60"/>
  <c r="V60"/>
  <c r="AJ60"/>
  <c r="W61" l="1"/>
  <c r="X60"/>
  <c r="AC60"/>
  <c r="Y60"/>
  <c r="AB60"/>
  <c r="Z60"/>
  <c r="AA60"/>
  <c r="AF60"/>
  <c r="B60"/>
  <c r="F60"/>
  <c r="C60"/>
  <c r="A60"/>
  <c r="E60"/>
  <c r="D60"/>
  <c r="I61"/>
  <c r="J61"/>
  <c r="N61" l="1"/>
  <c r="P61"/>
  <c r="M61"/>
  <c r="L61"/>
  <c r="K62"/>
  <c r="Q61"/>
  <c r="O61"/>
  <c r="R61"/>
  <c r="AD61"/>
  <c r="S61"/>
  <c r="V61"/>
  <c r="AJ61"/>
  <c r="AC61" l="1"/>
  <c r="Z61"/>
  <c r="AB61"/>
  <c r="Y61"/>
  <c r="AA61"/>
  <c r="X61"/>
  <c r="W62"/>
  <c r="AF61"/>
  <c r="D61"/>
  <c r="B61"/>
  <c r="F61"/>
  <c r="C61"/>
  <c r="E61"/>
  <c r="A61"/>
  <c r="J62"/>
  <c r="I62"/>
  <c r="P62" l="1"/>
  <c r="O62"/>
  <c r="Q62"/>
  <c r="K63"/>
  <c r="M62"/>
  <c r="N62"/>
  <c r="L62"/>
  <c r="S62"/>
  <c r="AD62"/>
  <c r="R62"/>
  <c r="AJ62"/>
  <c r="V62"/>
  <c r="W63" l="1"/>
  <c r="Y62"/>
  <c r="AA62"/>
  <c r="AC62"/>
  <c r="AB62"/>
  <c r="Z62"/>
  <c r="X62"/>
  <c r="AF62"/>
  <c r="F62"/>
  <c r="C62"/>
  <c r="E62"/>
  <c r="D62"/>
  <c r="A62"/>
  <c r="B62"/>
  <c r="J63"/>
  <c r="I63"/>
  <c r="S63" l="1"/>
  <c r="R63"/>
  <c r="AD63"/>
  <c r="K64"/>
  <c r="L63"/>
  <c r="Q63"/>
  <c r="M63"/>
  <c r="O63"/>
  <c r="P63"/>
  <c r="N63"/>
  <c r="AJ63"/>
  <c r="V63"/>
  <c r="Z63" l="1"/>
  <c r="W64"/>
  <c r="AA63"/>
  <c r="X63"/>
  <c r="AB63"/>
  <c r="Y63"/>
  <c r="AC63"/>
  <c r="AF63"/>
  <c r="A63"/>
  <c r="C63"/>
  <c r="F63"/>
  <c r="D63"/>
  <c r="E63"/>
  <c r="B63"/>
  <c r="I64"/>
  <c r="J64"/>
  <c r="K65" l="1"/>
  <c r="Q64"/>
  <c r="N64"/>
  <c r="M64"/>
  <c r="P64"/>
  <c r="L64"/>
  <c r="O64"/>
  <c r="AD64"/>
  <c r="S64"/>
  <c r="R64"/>
  <c r="V64"/>
  <c r="AJ64"/>
  <c r="Z64" l="1"/>
  <c r="Y64"/>
  <c r="AA64"/>
  <c r="AB64"/>
  <c r="X64"/>
  <c r="AC64"/>
  <c r="W65"/>
  <c r="AF64"/>
  <c r="B64"/>
  <c r="A64"/>
  <c r="F64"/>
  <c r="C64"/>
  <c r="D64"/>
  <c r="E64"/>
  <c r="J65"/>
  <c r="I65"/>
  <c r="AD65" l="1"/>
  <c r="S65"/>
  <c r="R65"/>
  <c r="M65"/>
  <c r="N65"/>
  <c r="P65"/>
  <c r="L65"/>
  <c r="Q65"/>
  <c r="O65"/>
  <c r="K66"/>
  <c r="AJ65"/>
  <c r="V65"/>
  <c r="AC65" l="1"/>
  <c r="X65"/>
  <c r="AA65"/>
  <c r="Z65"/>
  <c r="Y65"/>
  <c r="AB65"/>
  <c r="W66"/>
  <c r="AF65"/>
  <c r="A65"/>
  <c r="D65"/>
  <c r="B65"/>
  <c r="F65"/>
  <c r="E65"/>
  <c r="C65"/>
  <c r="J66"/>
  <c r="I66"/>
  <c r="N66" l="1"/>
  <c r="Q66"/>
  <c r="L66"/>
  <c r="M66"/>
  <c r="P66"/>
  <c r="O66"/>
  <c r="K67"/>
  <c r="AD66"/>
  <c r="S66"/>
  <c r="R66"/>
  <c r="V66"/>
  <c r="AJ66"/>
  <c r="Z66" l="1"/>
  <c r="AA66"/>
  <c r="AB66"/>
  <c r="AC66"/>
  <c r="W67"/>
  <c r="X66"/>
  <c r="Y66"/>
  <c r="AF66"/>
  <c r="B66"/>
  <c r="E66"/>
  <c r="D66"/>
  <c r="F66"/>
  <c r="C66"/>
  <c r="A66"/>
  <c r="I67"/>
  <c r="J67"/>
  <c r="R67" l="1"/>
  <c r="AD67"/>
  <c r="S67"/>
  <c r="O67"/>
  <c r="M67"/>
  <c r="L67"/>
  <c r="P67"/>
  <c r="K68"/>
  <c r="N67"/>
  <c r="Q67"/>
  <c r="AJ67"/>
  <c r="V67"/>
  <c r="AA67" l="1"/>
  <c r="W68"/>
  <c r="X67"/>
  <c r="AC67"/>
  <c r="Y67"/>
  <c r="Z67"/>
  <c r="AB67"/>
  <c r="AF67"/>
  <c r="E67"/>
  <c r="F67"/>
  <c r="A67"/>
  <c r="D67"/>
  <c r="C67"/>
  <c r="B67"/>
  <c r="I68"/>
  <c r="J68"/>
  <c r="O68" l="1"/>
  <c r="L68"/>
  <c r="M68"/>
  <c r="P68"/>
  <c r="N68"/>
  <c r="K69"/>
  <c r="Q68"/>
  <c r="AD68"/>
  <c r="R68"/>
  <c r="S68"/>
  <c r="V68"/>
  <c r="AJ68"/>
  <c r="AB68" l="1"/>
  <c r="AC68"/>
  <c r="AA68"/>
  <c r="Z68"/>
  <c r="X68"/>
  <c r="Y68"/>
  <c r="W69"/>
  <c r="AF68"/>
  <c r="E68"/>
  <c r="C68"/>
  <c r="F68"/>
  <c r="D68"/>
  <c r="B68"/>
  <c r="A68"/>
  <c r="J69"/>
  <c r="I69"/>
  <c r="AD69" l="1"/>
  <c r="S69"/>
  <c r="R69"/>
  <c r="N69"/>
  <c r="P69"/>
  <c r="O69"/>
  <c r="K70"/>
  <c r="Q69"/>
  <c r="L69"/>
  <c r="M69"/>
  <c r="V69"/>
  <c r="AJ69"/>
  <c r="AC69" l="1"/>
  <c r="W70"/>
  <c r="Y69"/>
  <c r="Z69"/>
  <c r="AB69"/>
  <c r="AA69"/>
  <c r="X69"/>
  <c r="AF69"/>
  <c r="D69"/>
  <c r="C69"/>
  <c r="F69"/>
  <c r="E69"/>
  <c r="B69"/>
  <c r="A69"/>
  <c r="J70"/>
  <c r="I70"/>
  <c r="S70" l="1"/>
  <c r="R70"/>
  <c r="AD70"/>
  <c r="L70"/>
  <c r="M70"/>
  <c r="K71"/>
  <c r="Q70"/>
  <c r="P70"/>
  <c r="N70"/>
  <c r="O70"/>
  <c r="V70"/>
  <c r="AJ70"/>
  <c r="Y70" l="1"/>
  <c r="W71"/>
  <c r="AA70"/>
  <c r="AB70"/>
  <c r="Z70"/>
  <c r="X70"/>
  <c r="AC70"/>
  <c r="AF70"/>
  <c r="E70"/>
  <c r="C70"/>
  <c r="A70"/>
  <c r="B70"/>
  <c r="D70"/>
  <c r="F70"/>
  <c r="J71"/>
  <c r="I71"/>
  <c r="AD71" l="1"/>
  <c r="S71"/>
  <c r="R71"/>
  <c r="L71"/>
  <c r="P71"/>
  <c r="O71"/>
  <c r="N71"/>
  <c r="Q71"/>
  <c r="K72"/>
  <c r="M71"/>
  <c r="V71"/>
  <c r="AJ71"/>
  <c r="W72" l="1"/>
  <c r="X71"/>
  <c r="AC71"/>
  <c r="AB71"/>
  <c r="AA71"/>
  <c r="Z71"/>
  <c r="Y71"/>
  <c r="AF71"/>
  <c r="A71"/>
  <c r="D71"/>
  <c r="B71"/>
  <c r="F71"/>
  <c r="C71"/>
  <c r="E71"/>
  <c r="J72"/>
  <c r="I72"/>
  <c r="K73" l="1"/>
  <c r="M72"/>
  <c r="L72"/>
  <c r="Q72"/>
  <c r="O72"/>
  <c r="N72"/>
  <c r="P72"/>
  <c r="AD72"/>
  <c r="R72"/>
  <c r="S72"/>
  <c r="V72"/>
  <c r="AJ72"/>
  <c r="Z72" l="1"/>
  <c r="AC72"/>
  <c r="W73"/>
  <c r="AB72"/>
  <c r="AA72"/>
  <c r="Y72"/>
  <c r="X72"/>
  <c r="AF72"/>
  <c r="B72"/>
  <c r="F72"/>
  <c r="D72"/>
  <c r="A72"/>
  <c r="E72"/>
  <c r="C72"/>
  <c r="I73"/>
  <c r="J73"/>
  <c r="K74" l="1"/>
  <c r="N73"/>
  <c r="O73"/>
  <c r="M73"/>
  <c r="P73"/>
  <c r="Q73"/>
  <c r="L73"/>
  <c r="S73"/>
  <c r="AD73"/>
  <c r="R73"/>
  <c r="AJ73"/>
  <c r="V73"/>
  <c r="W74" l="1"/>
  <c r="AA73"/>
  <c r="X73"/>
  <c r="Y73"/>
  <c r="Z73"/>
  <c r="AC73"/>
  <c r="AB73"/>
  <c r="AF73"/>
  <c r="D73"/>
  <c r="E73"/>
  <c r="A73"/>
  <c r="B73"/>
  <c r="F73"/>
  <c r="C73"/>
  <c r="I74"/>
  <c r="J74"/>
  <c r="AD74" l="1"/>
  <c r="R74"/>
  <c r="S74"/>
  <c r="L74"/>
  <c r="O74"/>
  <c r="K75"/>
  <c r="M74"/>
  <c r="P74"/>
  <c r="N74"/>
  <c r="Q74"/>
  <c r="V74"/>
  <c r="AJ74"/>
  <c r="AB74" l="1"/>
  <c r="X74"/>
  <c r="AC74"/>
  <c r="Y74"/>
  <c r="AA74"/>
  <c r="W75"/>
  <c r="Z74"/>
  <c r="AF74"/>
  <c r="E74"/>
  <c r="D74"/>
  <c r="A74"/>
  <c r="B74"/>
  <c r="C74"/>
  <c r="F74"/>
  <c r="I75"/>
  <c r="J75"/>
  <c r="AD75" l="1"/>
  <c r="S75"/>
  <c r="R75"/>
  <c r="P75"/>
  <c r="Q75"/>
  <c r="L75"/>
  <c r="N75"/>
  <c r="K76"/>
  <c r="O75"/>
  <c r="M75"/>
  <c r="AJ75"/>
  <c r="V75"/>
  <c r="AA75" l="1"/>
  <c r="AB75"/>
  <c r="AC75"/>
  <c r="X75"/>
  <c r="Y75"/>
  <c r="W76"/>
  <c r="Z75"/>
  <c r="AF75"/>
  <c r="E75"/>
  <c r="F75"/>
  <c r="B75"/>
  <c r="A75"/>
  <c r="C75"/>
  <c r="D75"/>
  <c r="I76"/>
  <c r="J76"/>
  <c r="P76" l="1"/>
  <c r="O76"/>
  <c r="Q76"/>
  <c r="K77"/>
  <c r="L76"/>
  <c r="M76"/>
  <c r="N76"/>
  <c r="R76"/>
  <c r="AD76"/>
  <c r="S76"/>
  <c r="V76"/>
  <c r="AJ76"/>
  <c r="AC76" l="1"/>
  <c r="X76"/>
  <c r="AB76"/>
  <c r="Y76"/>
  <c r="W77"/>
  <c r="AA76"/>
  <c r="Z76"/>
  <c r="AF76"/>
  <c r="B76"/>
  <c r="C76"/>
  <c r="A76"/>
  <c r="F76"/>
  <c r="E76"/>
  <c r="D76"/>
  <c r="J77"/>
  <c r="I77"/>
  <c r="P77" l="1"/>
  <c r="L77"/>
  <c r="O77"/>
  <c r="N77"/>
  <c r="M77"/>
  <c r="Q77"/>
  <c r="AD77"/>
  <c r="R77"/>
  <c r="S77"/>
  <c r="V77"/>
  <c r="AJ77"/>
  <c r="AC77" l="1"/>
  <c r="AA77"/>
  <c r="X77"/>
  <c r="Z77"/>
  <c r="Y77"/>
  <c r="AB77"/>
  <c r="AF77"/>
  <c r="C77"/>
  <c r="E77"/>
  <c r="A77"/>
  <c r="F77"/>
  <c r="D77"/>
  <c r="B77"/>
  <c r="F1" l="1"/>
</calcChain>
</file>

<file path=xl/sharedStrings.xml><?xml version="1.0" encoding="utf-8"?>
<sst xmlns="http://schemas.openxmlformats.org/spreadsheetml/2006/main" count="245" uniqueCount="184">
  <si>
    <t>Priority</t>
  </si>
  <si>
    <t>SCHEDULED MAINTENANCE</t>
  </si>
  <si>
    <t>PRIORITY</t>
  </si>
  <si>
    <t>TYPE</t>
  </si>
  <si>
    <t>BUDGET</t>
  </si>
  <si>
    <t>TOTAL</t>
  </si>
  <si>
    <t>General</t>
  </si>
  <si>
    <t>Electrical</t>
  </si>
  <si>
    <t>Interior</t>
  </si>
  <si>
    <t>HA</t>
  </si>
  <si>
    <t>General - end</t>
  </si>
  <si>
    <t>PB</t>
  </si>
  <si>
    <t>Estimated OutGoings</t>
  </si>
  <si>
    <t>Estimated Income</t>
  </si>
  <si>
    <t>Moorings Insurance &amp; Licence</t>
  </si>
  <si>
    <t>Shares</t>
  </si>
  <si>
    <t>Scheduled Maintenance</t>
  </si>
  <si>
    <t>NPs</t>
  </si>
  <si>
    <t>Account Charges</t>
  </si>
  <si>
    <t>Year Income</t>
  </si>
  <si>
    <t>Gross Outgoings</t>
  </si>
  <si>
    <t>Gross income</t>
  </si>
  <si>
    <t>Insurance</t>
  </si>
  <si>
    <t>Priority 0=Standard budget item</t>
  </si>
  <si>
    <t>Priority 1=Essential</t>
  </si>
  <si>
    <t xml:space="preserve">Priority 2=Important </t>
  </si>
  <si>
    <t>Priority 4=Very useful but significant effort or cost,could omit or defer</t>
  </si>
  <si>
    <t>Priority 5=Nice to have but could defer</t>
  </si>
  <si>
    <t>Occasional moorings</t>
  </si>
  <si>
    <t>Year Outgoings</t>
  </si>
  <si>
    <r>
      <t xml:space="preserve">Trip Charge surplus </t>
    </r>
    <r>
      <rPr>
        <b/>
        <sz val="12"/>
        <rFont val="Arial"/>
        <family val="2"/>
      </rPr>
      <t>(* 1)</t>
    </r>
  </si>
  <si>
    <r>
      <t xml:space="preserve">Daily Charge surplus </t>
    </r>
    <r>
      <rPr>
        <b/>
        <sz val="12"/>
        <rFont val="Arial"/>
        <family val="2"/>
      </rPr>
      <t>(*2)</t>
    </r>
  </si>
  <si>
    <t>DA</t>
  </si>
  <si>
    <t>Do Jobs to Priority</t>
  </si>
  <si>
    <t>Priority 3=Very useful,and quick &amp; low cost (&lt;£20),could omit or defer</t>
  </si>
  <si>
    <t>DRK</t>
  </si>
  <si>
    <t>CJ</t>
  </si>
  <si>
    <t>ORGANISERS</t>
  </si>
  <si>
    <t>JOBS NOT TO BE DONE</t>
  </si>
  <si>
    <t>Unplanned / Emergencies</t>
  </si>
  <si>
    <t>DB</t>
  </si>
  <si>
    <t>Occasional moorings reduced from £1500 in 2006</t>
  </si>
  <si>
    <t>Emergencies were reduced from £800 in 2006</t>
  </si>
  <si>
    <t>DJ</t>
  </si>
  <si>
    <t>Start of Season</t>
  </si>
  <si>
    <t>Remove all surplus materials and food etc</t>
  </si>
  <si>
    <t>Restock water filters &amp; Freezeban</t>
  </si>
  <si>
    <t>Priority 6=Special major project, budgeted from funds</t>
  </si>
  <si>
    <t>ALL</t>
  </si>
  <si>
    <t>Specials</t>
  </si>
  <si>
    <t>Selected</t>
  </si>
  <si>
    <t xml:space="preserve"> TOTAL for jobs with priority up to</t>
  </si>
  <si>
    <t>TOTAL for all jobs  - priority up to</t>
  </si>
  <si>
    <t>TM</t>
  </si>
  <si>
    <t>PF</t>
  </si>
  <si>
    <t>JF</t>
  </si>
  <si>
    <t>Re-stock first aid kit as needed</t>
  </si>
  <si>
    <t>Budget Asumptions</t>
  </si>
  <si>
    <r>
      <t xml:space="preserve">Trip/Daily net of cost/income planned for a </t>
    </r>
    <r>
      <rPr>
        <b/>
        <i/>
        <sz val="11"/>
        <color indexed="10"/>
        <rFont val="Arial"/>
        <family val="2"/>
      </rPr>
      <t>small surplus</t>
    </r>
  </si>
  <si>
    <t>(charge minus cost/trip x No. of trips = budget)</t>
  </si>
  <si>
    <t>(charge minus cost/day x Days use = budget)</t>
  </si>
  <si>
    <t xml:space="preserve">  JOBS TO BE DONE EVERY YEAR</t>
  </si>
  <si>
    <t>JM</t>
  </si>
  <si>
    <t>PAGE</t>
  </si>
  <si>
    <t>WHO</t>
  </si>
  <si>
    <t>INDEX TO PAGES</t>
  </si>
  <si>
    <t>Service engine (oil &amp; filters mid season)  add diesel tonic, Oil and filter, Fuel filter,</t>
  </si>
  <si>
    <t xml:space="preserve">Check propeller </t>
  </si>
  <si>
    <t xml:space="preserve">  JOBS FOR THIS YEAR</t>
  </si>
  <si>
    <t>Winterisation- Partial (November) Full (December)</t>
  </si>
  <si>
    <t>Rear boards matting</t>
  </si>
  <si>
    <t>ex VAT</t>
  </si>
  <si>
    <t>inc VAT</t>
  </si>
  <si>
    <t>2m x 1.8m</t>
  </si>
  <si>
    <t>1.82m x 1.22m</t>
  </si>
  <si>
    <t>price each</t>
  </si>
  <si>
    <t>Top Covering x 2</t>
  </si>
  <si>
    <t>Cost</t>
  </si>
  <si>
    <t>Restock &amp; update handover sheet &amp; email to members</t>
  </si>
  <si>
    <t>Clean boat for start of season</t>
  </si>
  <si>
    <t>Butyle covering: 2m x 1.8m</t>
  </si>
  <si>
    <t>JF/PB/SB</t>
  </si>
  <si>
    <t>No of new participants</t>
  </si>
  <si>
    <t xml:space="preserve">No. of continuing Participants </t>
  </si>
  <si>
    <t>SB</t>
  </si>
  <si>
    <t>jobs listed</t>
  </si>
  <si>
    <t xml:space="preserve">Check stock diesel tonic and oil + fuel+ air filters </t>
  </si>
  <si>
    <t>Clean rain gullies around stern counter area</t>
  </si>
  <si>
    <t xml:space="preserve">  JOBS FROM LAST YEAR</t>
  </si>
  <si>
    <t>Working w/e food</t>
  </si>
  <si>
    <t xml:space="preserve">Check mounts, transmission and alternator belt </t>
  </si>
  <si>
    <r>
      <t xml:space="preserve">Check </t>
    </r>
    <r>
      <rPr>
        <b/>
        <sz val="11"/>
        <rFont val="Arial"/>
        <family val="2"/>
      </rPr>
      <t>front</t>
    </r>
    <r>
      <rPr>
        <sz val="11"/>
        <rFont val="Arial"/>
        <family val="2"/>
      </rPr>
      <t xml:space="preserve"> gas locker vents to outside are clear</t>
    </r>
  </si>
  <si>
    <t>DA/DB</t>
  </si>
  <si>
    <t>Paintwork</t>
  </si>
  <si>
    <t>Plumbing</t>
  </si>
  <si>
    <t>ADDITIONAL COST  for jobs of up to priority</t>
  </si>
  <si>
    <r>
      <t xml:space="preserve">*2 </t>
    </r>
    <r>
      <rPr>
        <sz val="11"/>
        <rFont val="Arial"/>
        <family val="2"/>
      </rPr>
      <t xml:space="preserve">Daily charge </t>
    </r>
    <r>
      <rPr>
        <sz val="11"/>
        <color rgb="FFFF0000"/>
        <rFont val="Arial"/>
        <family val="2"/>
      </rPr>
      <t>un</t>
    </r>
    <r>
      <rPr>
        <b/>
        <sz val="11"/>
        <color indexed="10"/>
        <rFont val="Arial"/>
        <family val="2"/>
      </rPr>
      <t xml:space="preserve">changed as </t>
    </r>
    <r>
      <rPr>
        <sz val="11"/>
        <rFont val="Arial"/>
        <family val="2"/>
      </rPr>
      <t>£25/30 Avg =</t>
    </r>
  </si>
  <si>
    <r>
      <rPr>
        <b/>
        <i/>
        <sz val="11"/>
        <rFont val="Arial"/>
        <family val="2"/>
      </rPr>
      <t>*4</t>
    </r>
    <r>
      <rPr>
        <i/>
        <sz val="11"/>
        <rFont val="Arial"/>
        <family val="2"/>
      </rPr>
      <t xml:space="preserve"> Share increased to £500 in 2021 to cover painting and recover floating fund over next few years</t>
    </r>
  </si>
  <si>
    <r>
      <rPr>
        <b/>
        <i/>
        <sz val="12"/>
        <rFont val="Arial"/>
        <family val="2"/>
      </rPr>
      <t>*3</t>
    </r>
    <r>
      <rPr>
        <i/>
        <sz val="12"/>
        <rFont val="Arial"/>
        <family val="2"/>
      </rPr>
      <t xml:space="preserve"> NP daily charge </t>
    </r>
    <r>
      <rPr>
        <b/>
        <i/>
        <sz val="12"/>
        <color rgb="FFFF0000"/>
        <rFont val="Arial"/>
        <family val="2"/>
      </rPr>
      <t>increased</t>
    </r>
    <r>
      <rPr>
        <i/>
        <sz val="12"/>
        <rFont val="Arial"/>
        <family val="2"/>
      </rPr>
      <t xml:space="preserve"> from £10 to £25 in 2022</t>
    </r>
  </si>
  <si>
    <t>IMPORTANT NOTES</t>
  </si>
  <si>
    <r>
      <t>NP daily rate</t>
    </r>
    <r>
      <rPr>
        <b/>
        <sz val="12"/>
        <rFont val="Arial"/>
        <family val="2"/>
      </rPr>
      <t xml:space="preserve"> (* 3)</t>
    </r>
  </si>
  <si>
    <t>NOTES ON ESTIMATES</t>
  </si>
  <si>
    <r>
      <t xml:space="preserve">Surplus / </t>
    </r>
    <r>
      <rPr>
        <sz val="12"/>
        <color indexed="10"/>
        <rFont val="Arial"/>
        <family val="2"/>
      </rPr>
      <t>Loss</t>
    </r>
    <r>
      <rPr>
        <sz val="12"/>
        <rFont val="Arial"/>
        <family val="2"/>
      </rPr>
      <t xml:space="preserve"> =</t>
    </r>
  </si>
  <si>
    <r>
      <t>De-winterise</t>
    </r>
    <r>
      <rPr>
        <sz val="11"/>
        <rFont val="Arial"/>
        <family val="2"/>
      </rPr>
      <t xml:space="preserve">, check for leaks, reinstall, change water filter. Re-install Port Side Heating pump and shower. </t>
    </r>
  </si>
  <si>
    <t>Restock CH antifreeze Check water levels</t>
  </si>
  <si>
    <r>
      <t>Restock engine oil if needed (</t>
    </r>
    <r>
      <rPr>
        <sz val="8"/>
        <rFont val="Arial"/>
        <family val="2"/>
      </rPr>
      <t>charge to "Engine Oil"</t>
    </r>
    <r>
      <rPr>
        <sz val="11"/>
        <rFont val="Arial"/>
        <family val="2"/>
      </rPr>
      <t xml:space="preserve">) </t>
    </r>
  </si>
  <si>
    <t>Clean Shower sump (bucket). Check for leaks</t>
  </si>
  <si>
    <t>Batteries: Check, clean &amp; grease terminals</t>
  </si>
  <si>
    <t>PB/JF</t>
  </si>
  <si>
    <t>PB /JF</t>
  </si>
  <si>
    <t>Winterisation</t>
  </si>
  <si>
    <t xml:space="preserve">Pressure test the gas lines </t>
  </si>
  <si>
    <t>Laundry: clean blankets &amp; curtains as needed</t>
  </si>
  <si>
    <t>Number of NP days (79 in 23)</t>
  </si>
  <si>
    <t>Days use (51 in 2023)</t>
  </si>
  <si>
    <t>Cost/trip Pumpout (£31 in 23)</t>
  </si>
  <si>
    <t>Cost/day Fuel+gas (£18 in 23)</t>
  </si>
  <si>
    <t>2024 EOY Floating Fund</t>
  </si>
  <si>
    <t>Trip charge  (net of costs)</t>
  </si>
  <si>
    <t>Daily charge (net of costs)</t>
  </si>
  <si>
    <r>
      <t xml:space="preserve">Winter moorings </t>
    </r>
    <r>
      <rPr>
        <b/>
        <i/>
        <sz val="11"/>
        <color indexed="10"/>
        <rFont val="Arial"/>
        <family val="2"/>
      </rPr>
      <t>inflated by 10%</t>
    </r>
    <r>
      <rPr>
        <i/>
        <sz val="11"/>
        <rFont val="Arial"/>
        <family val="2"/>
      </rPr>
      <t xml:space="preserve"> over last year</t>
    </r>
  </si>
  <si>
    <t>Licence- calculated using C&amp;RT website</t>
  </si>
  <si>
    <r>
      <t xml:space="preserve">NP days </t>
    </r>
    <r>
      <rPr>
        <b/>
        <i/>
        <sz val="12"/>
        <color rgb="FFFF0000"/>
        <rFont val="Arial"/>
        <family val="2"/>
      </rPr>
      <t>decreased.</t>
    </r>
    <r>
      <rPr>
        <i/>
        <sz val="12"/>
        <rFont val="Arial"/>
        <family val="2"/>
      </rPr>
      <t xml:space="preserve"> Were 94 in 2022  to 79 in 2023, of which 30 were one trip.</t>
    </r>
  </si>
  <si>
    <t>Heating</t>
  </si>
  <si>
    <t>Replace CO detector (done in 2023)</t>
  </si>
  <si>
    <t>DA/TM</t>
  </si>
  <si>
    <t>RCR</t>
  </si>
  <si>
    <r>
      <t>*1</t>
    </r>
    <r>
      <rPr>
        <sz val="11"/>
        <rFont val="Arial"/>
        <family val="2"/>
      </rPr>
      <t xml:space="preserve"> trip charge</t>
    </r>
    <r>
      <rPr>
        <sz val="10"/>
        <rFont val="Arial"/>
        <family val="2"/>
      </rPr>
      <t xml:space="preserve"> (£30.48 average cost in 2023) </t>
    </r>
  </si>
  <si>
    <t>DB/DJ/JM (PB)</t>
  </si>
  <si>
    <t>Check operation of both loos &amp; check fixing.</t>
  </si>
  <si>
    <t>Hull</t>
  </si>
  <si>
    <t>Adjust Rear coverings (Butile &amp; Mats)</t>
  </si>
  <si>
    <t>Priority 7=Job complete for this year</t>
  </si>
  <si>
    <t>Make hole for pumping out under floor with no access, area by rear loo.</t>
  </si>
  <si>
    <t>Improve overflow of CH header tank, currently pipework too short and under stress.</t>
  </si>
  <si>
    <t>Replace some of our rubber piping for the Engine cooling water.</t>
  </si>
  <si>
    <t>Engine</t>
  </si>
  <si>
    <t>Insurance inflated based on £397.8 in Dec 2024</t>
  </si>
  <si>
    <t>2025 EOY Floating Fund</t>
  </si>
  <si>
    <t>Clean the roof when needed</t>
  </si>
  <si>
    <t>PB/TM</t>
  </si>
  <si>
    <t xml:space="preserve">Design &amp; Cost new water filter </t>
  </si>
  <si>
    <t>Flooring</t>
  </si>
  <si>
    <t>CJ/DRK</t>
  </si>
  <si>
    <r>
      <t>Share</t>
    </r>
    <r>
      <rPr>
        <b/>
        <sz val="12"/>
        <rFont val="Arial"/>
        <family val="2"/>
      </rPr>
      <t xml:space="preserve"> </t>
    </r>
  </si>
  <si>
    <t>Winter Moorings (£974 in 2024)</t>
  </si>
  <si>
    <t>Swanley Hard Standing (Feb - Apr)</t>
  </si>
  <si>
    <t>DRK/PB</t>
  </si>
  <si>
    <t>Number of trips (13 in 2023)</t>
  </si>
  <si>
    <t>(referred to 2023 due to problems in 2024)</t>
  </si>
  <si>
    <t>Overspend on provisions</t>
  </si>
  <si>
    <t>Investigate and remedy occasional engine failure</t>
  </si>
  <si>
    <t>Check gear box oil loss</t>
  </si>
  <si>
    <t>Reduce engine idling speed?</t>
  </si>
  <si>
    <t>Investigate source of water in engine bilge</t>
  </si>
  <si>
    <t>Paint arrows to help re-alignment of back boards</t>
  </si>
  <si>
    <t>Investigate cause of occasional tiller squeak</t>
  </si>
  <si>
    <t>Re-attach port side engine compartment grille</t>
  </si>
  <si>
    <t>Ease front and back doors</t>
  </si>
  <si>
    <t>Replace missing interior door slats</t>
  </si>
  <si>
    <t>Repair shower leak</t>
  </si>
  <si>
    <t>Repair front radiator connection leak</t>
  </si>
  <si>
    <t>Install timer for morning switch-on of diesel heater</t>
  </si>
  <si>
    <t>Remove engine header tank and clean inside</t>
  </si>
  <si>
    <t>Repair /replace middle support for rear starboard bunk</t>
  </si>
  <si>
    <r>
      <t xml:space="preserve">Thermostat/controller for Central Heating. (DRK has a design) </t>
    </r>
    <r>
      <rPr>
        <sz val="11"/>
        <color rgb="FF0070C0"/>
        <rFont val="Arial"/>
        <family val="2"/>
      </rPr>
      <t>added 2026: Retain or remove room thermostat?</t>
    </r>
  </si>
  <si>
    <t xml:space="preserve">Investigate uneven running of water pump </t>
  </si>
  <si>
    <r>
      <t xml:space="preserve">Check for any soft board (replace as necessary) and water under floor </t>
    </r>
    <r>
      <rPr>
        <sz val="11"/>
        <color rgb="FF0070C0"/>
        <rFont val="Arial"/>
        <family val="2"/>
      </rPr>
      <t>2026: Investigate bouncy floor areas</t>
    </r>
  </si>
  <si>
    <r>
      <t xml:space="preserve">Check/fix bilge pumps and auto switches operational including checking for blocked outlet. </t>
    </r>
    <r>
      <rPr>
        <sz val="11"/>
        <color rgb="FF0070C0"/>
        <rFont val="Arial"/>
        <family val="2"/>
      </rPr>
      <t>Check &amp; make bilge pump leads and connectors more secure</t>
    </r>
  </si>
  <si>
    <r>
      <t xml:space="preserve">Repair of replace diesel filler lock </t>
    </r>
    <r>
      <rPr>
        <sz val="11"/>
        <color rgb="FF0070C0"/>
        <rFont val="Arial"/>
        <family val="2"/>
      </rPr>
      <t>Done!</t>
    </r>
  </si>
  <si>
    <r>
      <t xml:space="preserve">Clean rubber mats on stern counter area  </t>
    </r>
    <r>
      <rPr>
        <sz val="11"/>
        <color rgb="FF0070C0"/>
        <rFont val="Arial"/>
        <family val="2"/>
      </rPr>
      <t>2026: Install notches in rubber matting to improve water run-off</t>
    </r>
  </si>
  <si>
    <r>
      <t xml:space="preserve">Check compliance issues. Check for new/changed requirements. </t>
    </r>
    <r>
      <rPr>
        <b/>
        <sz val="11"/>
        <rFont val="Arial"/>
        <family val="2"/>
      </rPr>
      <t xml:space="preserve"> </t>
    </r>
    <r>
      <rPr>
        <sz val="11"/>
        <color rgb="FF0070C0"/>
        <rFont val="Arial"/>
        <family val="2"/>
      </rPr>
      <t>For May 2026: Arrange Survey</t>
    </r>
  </si>
  <si>
    <t>Investigate occasional triggering of carbon monoxide sensors</t>
  </si>
  <si>
    <t>Reshape front fender</t>
  </si>
  <si>
    <t>Repair slits in cushions</t>
  </si>
  <si>
    <r>
      <t xml:space="preserve">Touch up paint on gunnels (PB to supply paint)  </t>
    </r>
    <r>
      <rPr>
        <sz val="11"/>
        <color rgb="FF0070C0"/>
        <rFont val="Arial"/>
        <family val="2"/>
      </rPr>
      <t>2026: Touch up external paintwork incl white at rear of counter &amp; tiller Remove remnants of masking tape over rear locker</t>
    </r>
  </si>
  <si>
    <t>Replace tatty-looking tape from bases of tables</t>
  </si>
  <si>
    <t>Replace 5 lights: Front loo, Front top bunk port side, Starboard lounge halfway, Starboard central upper bunk, Port side middle cabin bunk</t>
  </si>
  <si>
    <t>Replace water filter system</t>
  </si>
  <si>
    <r>
      <t xml:space="preserve">Check fire extinguishers (and shake powder to remove lumpyness) and fire blanket </t>
    </r>
    <r>
      <rPr>
        <sz val="11"/>
        <color rgb="FF0070C0"/>
        <rFont val="Arial"/>
        <family val="2"/>
      </rPr>
      <t>2026: See 4 below</t>
    </r>
  </si>
  <si>
    <t>Rationalise contents of back loo shelves</t>
  </si>
  <si>
    <t>Increase number of coat hangers</t>
  </si>
  <si>
    <r>
      <t xml:space="preserve">Replace batteries in water gauge. </t>
    </r>
    <r>
      <rPr>
        <sz val="11"/>
        <color rgb="FF0070C0"/>
        <rFont val="Arial"/>
        <family val="2"/>
      </rPr>
      <t>2026: Check water meter for leak   Reiterate / revise previous instructions on re-setting water meter</t>
    </r>
  </si>
  <si>
    <t>Licence from 1/3 (£1555 in 2025)</t>
  </si>
</sst>
</file>

<file path=xl/styles.xml><?xml version="1.0" encoding="utf-8"?>
<styleSheet xmlns="http://schemas.openxmlformats.org/spreadsheetml/2006/main">
  <numFmts count="8">
    <numFmt numFmtId="6" formatCode="&quot;£&quot;#,##0;[Red]\-&quot;£&quot;#,##0"/>
    <numFmt numFmtId="8" formatCode="&quot;£&quot;#,##0.00;[Red]\-&quot;£&quot;#,##0.00"/>
    <numFmt numFmtId="164" formatCode="\$#,##0\ ;\(\$#,##0\)"/>
    <numFmt numFmtId="165" formatCode="\$#,##0.00\ ;\(\$#,##0.00\)"/>
    <numFmt numFmtId="166" formatCode="&quot;£&quot;#,##0"/>
    <numFmt numFmtId="167" formatCode="0.0"/>
    <numFmt numFmtId="168" formatCode="&quot;£&quot;#,##0.00"/>
    <numFmt numFmtId="169" formatCode="#,##0.0"/>
  </numFmts>
  <fonts count="38">
    <font>
      <sz val="12"/>
      <color indexed="24"/>
      <name val="Arial"/>
    </font>
    <font>
      <sz val="14"/>
      <color indexed="24"/>
      <name val="Times New Roman"/>
      <family val="1"/>
    </font>
    <font>
      <b/>
      <i/>
      <sz val="12"/>
      <color indexed="24"/>
      <name val="Times New Roman"/>
      <family val="1"/>
    </font>
    <font>
      <sz val="12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i/>
      <sz val="11"/>
      <name val="Arial"/>
      <family val="2"/>
    </font>
    <font>
      <b/>
      <sz val="12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i/>
      <sz val="11"/>
      <color indexed="10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sz val="11"/>
      <color indexed="22"/>
      <name val="Arial"/>
      <family val="2"/>
    </font>
    <font>
      <sz val="10"/>
      <color indexed="22"/>
      <name val="Arial"/>
      <family val="2"/>
    </font>
    <font>
      <sz val="12"/>
      <color indexed="24"/>
      <name val="Arial"/>
      <family val="2"/>
    </font>
    <font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11"/>
      <color rgb="FFFF0000"/>
      <name val="Arial"/>
      <family val="2"/>
    </font>
    <font>
      <b/>
      <i/>
      <sz val="11"/>
      <name val="Arial"/>
      <family val="2"/>
    </font>
    <font>
      <b/>
      <i/>
      <sz val="12"/>
      <color rgb="FFFF0000"/>
      <name val="Arial"/>
      <family val="2"/>
    </font>
    <font>
      <sz val="12"/>
      <color rgb="FFFF0000"/>
      <name val="Arial"/>
      <family val="2"/>
    </font>
    <font>
      <i/>
      <sz val="12"/>
      <color indexed="24"/>
      <name val="Arial"/>
      <family val="2"/>
    </font>
    <font>
      <sz val="10"/>
      <color rgb="FFFF0000"/>
      <name val="Arial"/>
      <family val="2"/>
    </font>
    <font>
      <sz val="12"/>
      <color theme="5" tint="-0.249977111117893"/>
      <name val="Arial"/>
      <family val="2"/>
    </font>
    <font>
      <b/>
      <sz val="12"/>
      <color theme="5" tint="-0.249977111117893"/>
      <name val="Arial"/>
      <family val="2"/>
    </font>
    <font>
      <sz val="9"/>
      <color rgb="FFFF0000"/>
      <name val="Arial"/>
      <family val="2"/>
    </font>
    <font>
      <sz val="11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8">
    <xf numFmtId="0" fontId="0" fillId="0" borderId="0"/>
    <xf numFmtId="3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8" fillId="0" borderId="1" applyNumberFormat="0" applyFont="0" applyFill="0" applyAlignment="0" applyProtection="0"/>
  </cellStyleXfs>
  <cellXfs count="177">
    <xf numFmtId="0" fontId="0" fillId="0" borderId="0" xfId="0"/>
    <xf numFmtId="0" fontId="11" fillId="0" borderId="0" xfId="0" applyFont="1" applyAlignment="1">
      <alignment vertical="top" wrapText="1"/>
    </xf>
    <xf numFmtId="0" fontId="12" fillId="0" borderId="4" xfId="0" applyFont="1" applyBorder="1" applyAlignment="1">
      <alignment horizontal="center" vertical="center" textRotation="90" wrapText="1"/>
    </xf>
    <xf numFmtId="0" fontId="12" fillId="0" borderId="16" xfId="0" applyFont="1" applyBorder="1" applyAlignment="1">
      <alignment horizontal="center" vertical="center" textRotation="90" wrapText="1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68" fontId="7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168" fontId="4" fillId="0" borderId="0" xfId="0" applyNumberFormat="1" applyFont="1" applyAlignment="1">
      <alignment vertical="center"/>
    </xf>
    <xf numFmtId="0" fontId="0" fillId="0" borderId="17" xfId="0" applyBorder="1" applyAlignment="1">
      <alignment vertical="center"/>
    </xf>
    <xf numFmtId="0" fontId="12" fillId="0" borderId="18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10" fillId="0" borderId="0" xfId="0" applyFont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 textRotation="90" wrapText="1"/>
    </xf>
    <xf numFmtId="0" fontId="0" fillId="0" borderId="23" xfId="0" applyBorder="1" applyAlignment="1">
      <alignment horizontal="center" vertical="center" textRotation="90" wrapText="1"/>
    </xf>
    <xf numFmtId="0" fontId="23" fillId="0" borderId="0" xfId="0" applyFont="1" applyAlignment="1">
      <alignment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 textRotation="90" wrapText="1"/>
    </xf>
    <xf numFmtId="0" fontId="11" fillId="0" borderId="5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166" fontId="11" fillId="0" borderId="3" xfId="0" applyNumberFormat="1" applyFont="1" applyBorder="1" applyAlignment="1">
      <alignment horizontal="right" vertical="center" wrapText="1"/>
    </xf>
    <xf numFmtId="166" fontId="11" fillId="0" borderId="6" xfId="0" applyNumberFormat="1" applyFont="1" applyBorder="1" applyAlignment="1">
      <alignment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166" fontId="11" fillId="2" borderId="3" xfId="0" applyNumberFormat="1" applyFont="1" applyFill="1" applyBorder="1" applyAlignment="1">
      <alignment horizontal="right" vertical="center" wrapText="1"/>
    </xf>
    <xf numFmtId="166" fontId="11" fillId="2" borderId="6" xfId="0" applyNumberFormat="1" applyFont="1" applyFill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166" fontId="11" fillId="0" borderId="11" xfId="0" applyNumberFormat="1" applyFont="1" applyBorder="1" applyAlignment="1">
      <alignment horizontal="right" vertical="center" wrapText="1"/>
    </xf>
    <xf numFmtId="166" fontId="11" fillId="0" borderId="11" xfId="0" quotePrefix="1" applyNumberFormat="1" applyFont="1" applyBorder="1" applyAlignment="1">
      <alignment horizontal="right" vertical="center" wrapText="1"/>
    </xf>
    <xf numFmtId="0" fontId="11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166" fontId="11" fillId="0" borderId="14" xfId="0" applyNumberFormat="1" applyFont="1" applyBorder="1" applyAlignment="1">
      <alignment horizontal="right" vertical="center" wrapText="1"/>
    </xf>
    <xf numFmtId="0" fontId="12" fillId="0" borderId="19" xfId="0" applyFont="1" applyBorder="1" applyAlignment="1">
      <alignment horizontal="center" vertical="center" wrapText="1"/>
    </xf>
    <xf numFmtId="166" fontId="12" fillId="0" borderId="24" xfId="0" applyNumberFormat="1" applyFont="1" applyBorder="1" applyAlignment="1">
      <alignment horizontal="right" vertical="center" wrapText="1"/>
    </xf>
    <xf numFmtId="166" fontId="12" fillId="0" borderId="16" xfId="0" applyNumberFormat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166" fontId="12" fillId="0" borderId="5" xfId="0" applyNumberFormat="1" applyFont="1" applyBorder="1" applyAlignment="1">
      <alignment vertical="center" wrapText="1"/>
    </xf>
    <xf numFmtId="166" fontId="12" fillId="0" borderId="26" xfId="0" applyNumberFormat="1" applyFont="1" applyBorder="1" applyAlignment="1">
      <alignment horizontal="right" vertical="center" wrapText="1"/>
    </xf>
    <xf numFmtId="166" fontId="12" fillId="0" borderId="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166" fontId="11" fillId="0" borderId="0" xfId="0" applyNumberFormat="1" applyFont="1" applyAlignment="1">
      <alignment vertical="center" wrapText="1"/>
    </xf>
    <xf numFmtId="0" fontId="16" fillId="0" borderId="0" xfId="0" applyFont="1" applyAlignment="1">
      <alignment vertical="center" wrapText="1"/>
    </xf>
    <xf numFmtId="166" fontId="17" fillId="0" borderId="0" xfId="0" applyNumberFormat="1" applyFont="1" applyAlignment="1">
      <alignment vertical="center" wrapText="1"/>
    </xf>
    <xf numFmtId="166" fontId="16" fillId="0" borderId="0" xfId="0" applyNumberFormat="1" applyFont="1" applyAlignment="1">
      <alignment vertical="center" wrapText="1"/>
    </xf>
    <xf numFmtId="0" fontId="24" fillId="0" borderId="0" xfId="0" applyFont="1"/>
    <xf numFmtId="0" fontId="25" fillId="0" borderId="0" xfId="0" applyFont="1"/>
    <xf numFmtId="168" fontId="24" fillId="0" borderId="0" xfId="0" applyNumberFormat="1" applyFont="1"/>
    <xf numFmtId="0" fontId="24" fillId="0" borderId="0" xfId="0" applyFont="1" applyAlignment="1">
      <alignment horizontal="center"/>
    </xf>
    <xf numFmtId="0" fontId="21" fillId="2" borderId="28" xfId="0" applyFont="1" applyFill="1" applyBorder="1" applyAlignment="1">
      <alignment vertical="center" wrapText="1"/>
    </xf>
    <xf numFmtId="0" fontId="4" fillId="2" borderId="22" xfId="0" applyFont="1" applyFill="1" applyBorder="1" applyAlignment="1">
      <alignment horizontal="center" vertical="center" textRotation="90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vertical="center" wrapText="1"/>
    </xf>
    <xf numFmtId="0" fontId="21" fillId="2" borderId="0" xfId="0" applyFont="1" applyFill="1" applyAlignment="1">
      <alignment vertical="center" wrapText="1"/>
    </xf>
    <xf numFmtId="164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7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right" vertical="center"/>
    </xf>
    <xf numFmtId="169" fontId="4" fillId="0" borderId="0" xfId="0" applyNumberFormat="1" applyFont="1" applyAlignment="1">
      <alignment horizontal="left" vertical="center"/>
    </xf>
    <xf numFmtId="164" fontId="8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6" fontId="4" fillId="0" borderId="0" xfId="0" applyNumberFormat="1" applyFont="1" applyAlignment="1">
      <alignment vertical="center"/>
    </xf>
    <xf numFmtId="8" fontId="4" fillId="0" borderId="0" xfId="0" applyNumberFormat="1" applyFont="1" applyAlignment="1">
      <alignment horizontal="center" vertical="center"/>
    </xf>
    <xf numFmtId="164" fontId="4" fillId="0" borderId="2" xfId="0" applyNumberFormat="1" applyFont="1" applyBorder="1" applyAlignment="1">
      <alignment horizontal="right" vertical="center"/>
    </xf>
    <xf numFmtId="166" fontId="4" fillId="0" borderId="2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1" fillId="0" borderId="29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 wrapText="1"/>
    </xf>
    <xf numFmtId="166" fontId="21" fillId="0" borderId="3" xfId="0" applyNumberFormat="1" applyFont="1" applyBorder="1" applyAlignment="1">
      <alignment horizontal="right" vertical="center" wrapText="1"/>
    </xf>
    <xf numFmtId="166" fontId="21" fillId="0" borderId="6" xfId="0" applyNumberFormat="1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20" fillId="0" borderId="0" xfId="0" applyFont="1" applyAlignment="1">
      <alignment vertical="center" wrapText="1"/>
    </xf>
    <xf numFmtId="0" fontId="4" fillId="0" borderId="23" xfId="0" applyFont="1" applyBorder="1" applyAlignment="1">
      <alignment horizontal="center" vertical="center" textRotation="90" wrapText="1"/>
    </xf>
    <xf numFmtId="0" fontId="21" fillId="0" borderId="11" xfId="0" applyFont="1" applyBorder="1" applyAlignment="1">
      <alignment vertical="center" wrapText="1"/>
    </xf>
    <xf numFmtId="0" fontId="21" fillId="0" borderId="3" xfId="0" quotePrefix="1" applyFont="1" applyBorder="1" applyAlignment="1">
      <alignment horizontal="center" vertical="center" wrapText="1"/>
    </xf>
    <xf numFmtId="0" fontId="21" fillId="0" borderId="25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167" fontId="20" fillId="0" borderId="24" xfId="0" applyNumberFormat="1" applyFont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167" fontId="20" fillId="0" borderId="27" xfId="0" applyNumberFormat="1" applyFont="1" applyBorder="1" applyAlignment="1">
      <alignment horizontal="left" vertical="center" wrapText="1"/>
    </xf>
    <xf numFmtId="166" fontId="21" fillId="0" borderId="0" xfId="0" applyNumberFormat="1" applyFont="1" applyAlignment="1">
      <alignment vertical="center" wrapText="1"/>
    </xf>
    <xf numFmtId="0" fontId="20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0" fontId="20" fillId="0" borderId="28" xfId="0" applyFont="1" applyBorder="1" applyAlignment="1">
      <alignment vertical="center" wrapText="1"/>
    </xf>
    <xf numFmtId="0" fontId="21" fillId="0" borderId="28" xfId="0" applyFont="1" applyBorder="1" applyAlignment="1">
      <alignment vertical="center" wrapText="1"/>
    </xf>
    <xf numFmtId="0" fontId="20" fillId="0" borderId="29" xfId="0" applyFont="1" applyBorder="1" applyAlignment="1">
      <alignment vertical="center" wrapText="1"/>
    </xf>
    <xf numFmtId="0" fontId="21" fillId="0" borderId="33" xfId="0" applyFont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164" fontId="9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20" fillId="0" borderId="0" xfId="0" applyNumberFormat="1" applyFont="1" applyAlignment="1">
      <alignment horizontal="left" vertical="center" wrapText="1"/>
    </xf>
    <xf numFmtId="6" fontId="4" fillId="0" borderId="0" xfId="0" applyNumberFormat="1" applyFont="1" applyAlignment="1">
      <alignment horizontal="left" vertical="center"/>
    </xf>
    <xf numFmtId="0" fontId="11" fillId="0" borderId="10" xfId="0" applyFont="1" applyBorder="1" applyAlignment="1">
      <alignment horizontal="center" vertical="top" wrapText="1"/>
    </xf>
    <xf numFmtId="0" fontId="21" fillId="3" borderId="29" xfId="0" applyFont="1" applyFill="1" applyBorder="1" applyAlignment="1">
      <alignment vertical="center" wrapText="1"/>
    </xf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166" fontId="21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7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35" fillId="0" borderId="30" xfId="0" applyFont="1" applyBorder="1" applyAlignment="1" applyProtection="1">
      <alignment horizontal="center" vertical="center"/>
      <protection locked="0"/>
    </xf>
    <xf numFmtId="0" fontId="34" fillId="0" borderId="32" xfId="0" applyFont="1" applyBorder="1" applyAlignment="1" applyProtection="1">
      <alignment horizontal="center" vertical="center"/>
      <protection locked="0"/>
    </xf>
    <xf numFmtId="0" fontId="12" fillId="0" borderId="36" xfId="0" applyFont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12" fillId="0" borderId="37" xfId="0" applyFont="1" applyBorder="1" applyAlignment="1">
      <alignment horizontal="right" vertical="center" wrapText="1"/>
    </xf>
    <xf numFmtId="0" fontId="0" fillId="0" borderId="27" xfId="0" applyBorder="1" applyAlignment="1">
      <alignment vertical="center" wrapText="1"/>
    </xf>
    <xf numFmtId="166" fontId="12" fillId="0" borderId="38" xfId="0" applyNumberFormat="1" applyFont="1" applyBorder="1" applyAlignment="1">
      <alignment horizontal="center" vertical="center" textRotation="90" wrapText="1"/>
    </xf>
    <xf numFmtId="0" fontId="0" fillId="0" borderId="21" xfId="0" applyBorder="1" applyAlignment="1">
      <alignment horizontal="center" vertical="center" textRotation="90" wrapText="1"/>
    </xf>
    <xf numFmtId="0" fontId="0" fillId="0" borderId="39" xfId="0" applyBorder="1" applyAlignment="1">
      <alignment horizontal="center" vertical="center" textRotation="90" wrapText="1"/>
    </xf>
    <xf numFmtId="0" fontId="12" fillId="0" borderId="40" xfId="0" applyFont="1" applyBorder="1" applyAlignment="1">
      <alignment horizontal="center" vertical="center" textRotation="90" wrapText="1"/>
    </xf>
    <xf numFmtId="0" fontId="0" fillId="0" borderId="41" xfId="0" applyBorder="1" applyAlignment="1">
      <alignment horizontal="center" vertical="center" textRotation="90" wrapText="1"/>
    </xf>
    <xf numFmtId="0" fontId="0" fillId="0" borderId="42" xfId="0" applyBorder="1" applyAlignment="1">
      <alignment horizontal="center" vertical="center" textRotation="90" wrapText="1"/>
    </xf>
    <xf numFmtId="0" fontId="20" fillId="0" borderId="35" xfId="0" applyFont="1" applyBorder="1" applyAlignment="1">
      <alignment horizontal="center" vertical="center" textRotation="90" wrapText="1"/>
    </xf>
    <xf numFmtId="0" fontId="20" fillId="0" borderId="22" xfId="0" applyFont="1" applyBorder="1" applyAlignment="1">
      <alignment horizontal="center" vertical="center" textRotation="90" wrapText="1"/>
    </xf>
    <xf numFmtId="0" fontId="20" fillId="0" borderId="43" xfId="0" applyFont="1" applyBorder="1" applyAlignment="1">
      <alignment horizontal="center" vertical="center" textRotation="90" wrapText="1"/>
    </xf>
    <xf numFmtId="166" fontId="12" fillId="0" borderId="44" xfId="0" applyNumberFormat="1" applyFont="1" applyBorder="1" applyAlignment="1">
      <alignment horizontal="center" vertical="center" textRotation="90" wrapText="1"/>
    </xf>
    <xf numFmtId="0" fontId="0" fillId="0" borderId="45" xfId="0" applyBorder="1" applyAlignment="1">
      <alignment horizontal="center" vertical="center" textRotation="90" wrapText="1"/>
    </xf>
    <xf numFmtId="0" fontId="0" fillId="0" borderId="46" xfId="0" applyBorder="1" applyAlignment="1">
      <alignment horizontal="center" vertical="center" textRotation="90" wrapText="1"/>
    </xf>
    <xf numFmtId="0" fontId="20" fillId="2" borderId="51" xfId="0" applyFont="1" applyFill="1" applyBorder="1" applyAlignment="1">
      <alignment horizontal="center" vertical="center" textRotation="90" wrapText="1"/>
    </xf>
    <xf numFmtId="0" fontId="20" fillId="2" borderId="52" xfId="0" applyFont="1" applyFill="1" applyBorder="1" applyAlignment="1">
      <alignment horizontal="center" vertical="center" textRotation="90" wrapText="1"/>
    </xf>
    <xf numFmtId="0" fontId="0" fillId="0" borderId="52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166" fontId="36" fillId="0" borderId="0" xfId="0" applyNumberFormat="1" applyFont="1" applyAlignment="1">
      <alignment vertical="center" wrapText="1"/>
    </xf>
    <xf numFmtId="0" fontId="36" fillId="0" borderId="0" xfId="0" applyFont="1" applyAlignment="1">
      <alignment vertical="center" wrapText="1"/>
    </xf>
    <xf numFmtId="164" fontId="26" fillId="0" borderId="0" xfId="0" applyNumberFormat="1" applyFont="1" applyAlignment="1">
      <alignment vertical="center" wrapText="1"/>
    </xf>
    <xf numFmtId="0" fontId="32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31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64" fontId="9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164" fontId="9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8" fontId="24" fillId="0" borderId="0" xfId="0" applyNumberFormat="1" applyFont="1" applyAlignment="1">
      <alignment horizontal="center"/>
    </xf>
  </cellXfs>
  <cellStyles count="8">
    <cellStyle name="Comma0" xfId="1"/>
    <cellStyle name="Currency0" xfId="2"/>
    <cellStyle name="Date" xfId="3"/>
    <cellStyle name="Fixed" xfId="4"/>
    <cellStyle name="Heading 1" xfId="5" builtinId="16" customBuiltin="1"/>
    <cellStyle name="Heading 2" xfId="6" builtinId="17" customBuiltin="1"/>
    <cellStyle name="Normal" xfId="0" builtinId="0"/>
    <cellStyle name="Total" xfId="7" builtinId="25" customBuiltin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4699419</xdr:colOff>
      <xdr:row>0</xdr:row>
      <xdr:rowOff>33866</xdr:rowOff>
    </xdr:from>
    <xdr:to>
      <xdr:col>3</xdr:col>
      <xdr:colOff>1185742</xdr:colOff>
      <xdr:row>1</xdr:row>
      <xdr:rowOff>270933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5046552" y="33866"/>
          <a:ext cx="1981190" cy="44873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r" rtl="0">
            <a:defRPr sz="1000"/>
          </a:pPr>
          <a:r>
            <a:rPr lang="en-GB" sz="1200" b="0" i="0" u="none" strike="noStrike" baseline="0">
              <a:solidFill>
                <a:srgbClr val="0000FF"/>
              </a:solidFill>
              <a:latin typeface="Arial"/>
              <a:cs typeface="Arial"/>
            </a:rPr>
            <a:t>Type your initials or a </a:t>
          </a:r>
          <a:r>
            <a:rPr lang="en-GB" sz="1200" b="0" i="0" u="none" strike="noStrike" baseline="0">
              <a:solidFill>
                <a:schemeClr val="tx1"/>
              </a:solidFill>
              <a:latin typeface="Arial"/>
              <a:cs typeface="Arial"/>
            </a:rPr>
            <a:t>==&gt;</a:t>
          </a:r>
          <a:r>
            <a:rPr lang="en-GB" sz="1200" b="0" i="0" u="none" strike="noStrike" baseline="0">
              <a:solidFill>
                <a:srgbClr val="0000FF"/>
              </a:solidFill>
              <a:latin typeface="Arial"/>
              <a:cs typeface="Arial"/>
            </a:rPr>
            <a:t> number between 0 and 15</a:t>
          </a:r>
        </a:p>
        <a:p>
          <a:pPr algn="r" rtl="0">
            <a:defRPr sz="1000"/>
          </a:pPr>
          <a:r>
            <a:rPr lang="en-GB" sz="1200" b="0" i="0" u="none" strike="noStrike" baseline="0">
              <a:solidFill>
                <a:srgbClr val="0000FF"/>
              </a:solidFill>
              <a:latin typeface="Arial"/>
              <a:cs typeface="Arial"/>
            </a:rPr>
            <a:t> here</a:t>
          </a:r>
        </a:p>
      </xdr:txBody>
    </xdr:sp>
    <xdr:clientData/>
  </xdr:twoCellAnchor>
  <xdr:twoCellAnchor>
    <xdr:from>
      <xdr:col>1</xdr:col>
      <xdr:colOff>0</xdr:colOff>
      <xdr:row>0</xdr:row>
      <xdr:rowOff>160865</xdr:rowOff>
    </xdr:from>
    <xdr:to>
      <xdr:col>1</xdr:col>
      <xdr:colOff>4495799</xdr:colOff>
      <xdr:row>2</xdr:row>
      <xdr:rowOff>25400</xdr:rowOff>
    </xdr:to>
    <xdr:sp macro="" textlink="">
      <xdr:nvSpPr>
        <xdr:cNvPr id="3" name="TextBox 2"/>
        <xdr:cNvSpPr txBox="1"/>
      </xdr:nvSpPr>
      <xdr:spPr>
        <a:xfrm>
          <a:off x="347133" y="160865"/>
          <a:ext cx="4495799" cy="41486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GB" sz="1100" b="1">
              <a:solidFill>
                <a:srgbClr val="FF0000"/>
              </a:solidFill>
            </a:rPr>
            <a:t>Note that jobs of priority 4 &amp; 5 are not included in this year's budget and do not appear in the "Your Jobs" list.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984250</xdr:colOff>
      <xdr:row>82</xdr:row>
      <xdr:rowOff>107950</xdr:rowOff>
    </xdr:from>
    <xdr:to>
      <xdr:col>6</xdr:col>
      <xdr:colOff>438150</xdr:colOff>
      <xdr:row>88</xdr:row>
      <xdr:rowOff>139700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1270000" y="17818100"/>
          <a:ext cx="5035550" cy="1098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Front toilet main light – replace with LED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Front sleeping cabin – bunk top right-hand side – LED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Middle cabin – bunk top right-hand side – LED (could be left another year)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Rear cabin – top bunk – as above </a:t>
          </a:r>
        </a:p>
        <a:p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Front cabin rear left light</a:t>
          </a:r>
          <a:endParaRPr lang="en-GB" sz="1100"/>
        </a:p>
      </xdr:txBody>
    </xdr:sp>
    <xdr:clientData/>
  </xdr:twoCellAnchor>
  <xdr:oneCellAnchor>
    <xdr:from>
      <xdr:col>7</xdr:col>
      <xdr:colOff>584200</xdr:colOff>
      <xdr:row>84</xdr:row>
      <xdr:rowOff>158750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6991350" y="182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1668517</xdr:colOff>
      <xdr:row>1</xdr:row>
      <xdr:rowOff>26277</xdr:rowOff>
    </xdr:from>
    <xdr:to>
      <xdr:col>1</xdr:col>
      <xdr:colOff>3358931</xdr:colOff>
      <xdr:row>3</xdr:row>
      <xdr:rowOff>192691</xdr:rowOff>
    </xdr:to>
    <xdr:sp macro="" textlink="">
      <xdr:nvSpPr>
        <xdr:cNvPr id="4" name="TextBox 3"/>
        <xdr:cNvSpPr txBox="1"/>
      </xdr:nvSpPr>
      <xdr:spPr>
        <a:xfrm>
          <a:off x="1953172" y="218967"/>
          <a:ext cx="1690414" cy="5693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GB" sz="800">
              <a:solidFill>
                <a:srgbClr val="FF0000"/>
              </a:solidFill>
            </a:rPr>
            <a:t>Note that jobs of priority 4 &amp; 5 are not included in this year's budget and do not appear in the "Your Jobs" list.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1231900</xdr:colOff>
      <xdr:row>0</xdr:row>
      <xdr:rowOff>133350</xdr:rowOff>
    </xdr:from>
    <xdr:to>
      <xdr:col>4</xdr:col>
      <xdr:colOff>596900</xdr:colOff>
      <xdr:row>0</xdr:row>
      <xdr:rowOff>914400</xdr:rowOff>
    </xdr:to>
    <xdr:sp macro="" textlink="">
      <xdr:nvSpPr>
        <xdr:cNvPr id="2" name="TextBox 1"/>
        <xdr:cNvSpPr txBox="1"/>
      </xdr:nvSpPr>
      <xdr:spPr>
        <a:xfrm>
          <a:off x="1231900" y="133350"/>
          <a:ext cx="5010150" cy="781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GB" sz="1100">
              <a:solidFill>
                <a:srgbClr val="FF0000"/>
              </a:solidFill>
            </a:rPr>
            <a:t>Please note: The Swanley hard-standing Feb - April was overlooked at the AGM. Also the under provision for Danny's invoices was not realised.</a:t>
          </a:r>
          <a:r>
            <a:rPr lang="en-GB" sz="1100" baseline="0">
              <a:solidFill>
                <a:srgbClr val="FF0000"/>
              </a:solidFill>
            </a:rPr>
            <a:t> </a:t>
          </a:r>
          <a:r>
            <a:rPr lang="en-GB" sz="1100">
              <a:solidFill>
                <a:srgbClr val="FF0000"/>
              </a:solidFill>
            </a:rPr>
            <a:t>Both have been </a:t>
          </a:r>
          <a:r>
            <a:rPr lang="en-GB" sz="1100">
              <a:solidFill>
                <a:srgbClr val="FF0000"/>
              </a:solidFill>
              <a:latin typeface="+mn-lt"/>
              <a:ea typeface="+mn-ea"/>
              <a:cs typeface="+mn-cs"/>
            </a:rPr>
            <a:t>added to the budgeted outgoings </a:t>
          </a:r>
          <a:r>
            <a:rPr lang="en-GB" sz="1100">
              <a:solidFill>
                <a:srgbClr val="FF0000"/>
              </a:solidFill>
            </a:rPr>
            <a:t>and the share increased to £400 since the AGM . This forecasts a decreased floating fund over 2025, not the AGM-planned small increase.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</xdr:colOff>
      <xdr:row>2</xdr:row>
      <xdr:rowOff>0</xdr:rowOff>
    </xdr:from>
    <xdr:to>
      <xdr:col>6</xdr:col>
      <xdr:colOff>150700</xdr:colOff>
      <xdr:row>14</xdr:row>
      <xdr:rowOff>157800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/>
      </xdr:nvSpPr>
      <xdr:spPr>
        <a:xfrm>
          <a:off x="5308600" y="393700"/>
          <a:ext cx="900000" cy="2520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GB" sz="1100"/>
        </a:p>
      </xdr:txBody>
    </xdr:sp>
    <xdr:clientData/>
  </xdr:twoCellAnchor>
  <xdr:twoCellAnchor>
    <xdr:from>
      <xdr:col>6</xdr:col>
      <xdr:colOff>171450</xdr:colOff>
      <xdr:row>2</xdr:row>
      <xdr:rowOff>12700</xdr:rowOff>
    </xdr:from>
    <xdr:to>
      <xdr:col>7</xdr:col>
      <xdr:colOff>669450</xdr:colOff>
      <xdr:row>12</xdr:row>
      <xdr:rowOff>60200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/>
      </xdr:nvSpPr>
      <xdr:spPr>
        <a:xfrm>
          <a:off x="6229350" y="406400"/>
          <a:ext cx="1260000" cy="2016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N95"/>
  <sheetViews>
    <sheetView zoomScale="75" zoomScaleNormal="75" workbookViewId="0">
      <pane xSplit="1" ySplit="3" topLeftCell="F4" activePane="bottomRight" state="frozen"/>
      <selection pane="topRight" activeCell="B1" sqref="B1"/>
      <selection pane="bottomLeft" activeCell="A4" sqref="A4"/>
      <selection pane="bottomRight" activeCell="F1" sqref="F1:AK1048576"/>
    </sheetView>
  </sheetViews>
  <sheetFormatPr defaultColWidth="8.84375" defaultRowHeight="15.5"/>
  <cols>
    <col min="1" max="1" width="4.23046875" style="15" customWidth="1"/>
    <col min="2" max="2" width="57.84375" style="15" customWidth="1"/>
    <col min="3" max="3" width="8.69140625" style="13" customWidth="1"/>
    <col min="4" max="5" width="14.4609375" style="13" customWidth="1"/>
    <col min="6" max="6" width="11.53515625" style="17" customWidth="1"/>
    <col min="7" max="7" width="2" style="15" hidden="1" customWidth="1"/>
    <col min="8" max="8" width="3" style="15" hidden="1" customWidth="1"/>
    <col min="9" max="9" width="5.84375" style="15" hidden="1" customWidth="1"/>
    <col min="10" max="10" width="4.84375" style="15" hidden="1" customWidth="1"/>
    <col min="11" max="11" width="7" style="15" hidden="1" customWidth="1"/>
    <col min="12" max="12" width="18.53515625" style="15" hidden="1" customWidth="1"/>
    <col min="13" max="13" width="13.23046875" style="15" hidden="1" customWidth="1"/>
    <col min="14" max="14" width="14.69140625" style="15" hidden="1" customWidth="1"/>
    <col min="15" max="15" width="8.4609375" style="15" hidden="1" customWidth="1"/>
    <col min="16" max="16" width="22.69140625" style="15" hidden="1" customWidth="1"/>
    <col min="17" max="17" width="8.53515625" style="15" hidden="1" customWidth="1"/>
    <col min="18" max="18" width="8.84375" style="15" hidden="1" customWidth="1"/>
    <col min="19" max="19" width="2" style="13" hidden="1" customWidth="1"/>
    <col min="20" max="20" width="2.84375" style="16" hidden="1" customWidth="1"/>
    <col min="21" max="22" width="3" style="15" hidden="1" customWidth="1"/>
    <col min="23" max="26" width="8.84375" style="15" hidden="1" customWidth="1"/>
    <col min="27" max="27" width="17.23046875" style="15" hidden="1" customWidth="1"/>
    <col min="28" max="28" width="29.69140625" style="15" hidden="1" customWidth="1"/>
    <col min="29" max="29" width="29.23046875" style="15" hidden="1" customWidth="1"/>
    <col min="30" max="30" width="15.07421875" style="15" hidden="1" customWidth="1"/>
    <col min="31" max="31" width="4.23046875" style="15" hidden="1" customWidth="1"/>
    <col min="32" max="32" width="8.84375" style="15" hidden="1" customWidth="1"/>
    <col min="33" max="33" width="29.07421875" style="15" hidden="1" customWidth="1"/>
    <col min="34" max="36" width="8.84375" style="15" hidden="1" customWidth="1"/>
    <col min="37" max="16384" width="8.84375" style="15"/>
  </cols>
  <sheetData>
    <row r="1" spans="1:40" s="4" customFormat="1" ht="16.5" thickTop="1" thickBot="1">
      <c r="A1" s="20" t="str">
        <f>C1</f>
        <v>ALL</v>
      </c>
      <c r="B1" s="4" t="str">
        <f>CONCATENATE("you are responsible for the following jobs: (up to priority ",MAX(Budget!B2,Budget!E2),")")</f>
        <v>you are responsible for the following jobs: (up to priority 3)</v>
      </c>
      <c r="C1" s="7" t="str">
        <f>IF(ISTEXT(E1), E1,VLOOKUP(E1,B80:C100,2))</f>
        <v>ALL</v>
      </c>
      <c r="D1" s="21"/>
      <c r="E1" s="142"/>
      <c r="F1" s="6">
        <f ca="1">COUNT(A4:A77)</f>
        <v>31</v>
      </c>
      <c r="G1" s="136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8"/>
      <c r="T1" s="136" t="s">
        <v>38</v>
      </c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8"/>
      <c r="AK1" s="24" t="s">
        <v>85</v>
      </c>
    </row>
    <row r="2" spans="1:40" s="4" customFormat="1" ht="26.5" customHeight="1" thickTop="1" thickBot="1">
      <c r="C2" s="5"/>
      <c r="D2" s="7"/>
      <c r="E2" s="143"/>
      <c r="F2" s="8"/>
      <c r="G2" s="7"/>
      <c r="H2" s="7"/>
      <c r="I2" s="7"/>
      <c r="J2" s="7"/>
      <c r="K2" s="7"/>
      <c r="L2" s="7"/>
      <c r="M2" s="7" t="str">
        <f ca="1">IF(INDIRECT(AG68)&gt;MAX(Budget!$B$2,Budget!E72),"","Y")</f>
        <v>Y</v>
      </c>
      <c r="N2" s="7"/>
      <c r="O2" s="7"/>
      <c r="P2" s="7"/>
      <c r="Q2" s="7"/>
      <c r="R2" s="7"/>
      <c r="S2" s="9"/>
      <c r="T2" s="10"/>
      <c r="U2" s="7"/>
      <c r="V2" s="7"/>
      <c r="W2" s="7"/>
      <c r="X2" s="7"/>
      <c r="Y2" s="7"/>
      <c r="Z2" s="7"/>
      <c r="AA2" s="7"/>
      <c r="AB2" s="7"/>
      <c r="AC2" s="7"/>
      <c r="AD2" s="7"/>
      <c r="AE2" s="11"/>
    </row>
    <row r="3" spans="1:40" s="4" customFormat="1" ht="16" thickTop="1">
      <c r="B3" s="4" t="str">
        <f>'ALL JOBS'!B1</f>
        <v>SCHEDULED MAINTENANCE</v>
      </c>
      <c r="C3" s="7" t="str">
        <f>'ALL JOBS'!D1</f>
        <v>PRIORITY</v>
      </c>
      <c r="D3" s="7" t="str">
        <f>'ALL JOBS'!E1</f>
        <v>TYPE</v>
      </c>
      <c r="E3" s="7"/>
      <c r="F3" s="8" t="str">
        <f>'ALL JOBS'!G1</f>
        <v>BUDGET</v>
      </c>
      <c r="J3" s="4">
        <v>2</v>
      </c>
      <c r="K3" s="4">
        <v>6</v>
      </c>
      <c r="S3" s="7"/>
      <c r="T3" s="10"/>
      <c r="V3" s="4">
        <v>2</v>
      </c>
    </row>
    <row r="4" spans="1:40" ht="30" customHeight="1">
      <c r="A4" s="15">
        <f t="shared" ref="A4:A19" ca="1" si="0">IF(AND($AE5="Y",$AE4=""),"",IF($AE4="Y",INDIRECT(X4),IF($S4="Y",INDIRECT(L4),"")))</f>
        <v>1</v>
      </c>
      <c r="B4" s="12" t="str">
        <f t="shared" ref="B4:B19" ca="1" si="1">IF(AND($AE5="Y",$AE4=""),"THE FOLLOWING JOBS ARE NOT TO BE DONE THIS YEAR",IF($AE4="Y",INDIRECT(Y4),IF($S4="Y",INDIRECT(M4),"")))</f>
        <v>Batteries: Check, clean &amp; grease terminals</v>
      </c>
      <c r="C4" s="13">
        <f t="shared" ref="C4:F8" ca="1" si="2">IF(AND($AE5="Y",$AE4=""),"",IF($AE4="Y",INDIRECT(Z4),IF($S4="Y",INDIRECT(N4),"")))</f>
        <v>0</v>
      </c>
      <c r="D4" s="13" t="str">
        <f t="shared" ca="1" si="2"/>
        <v>Start of Season</v>
      </c>
      <c r="E4" s="13" t="str">
        <f t="shared" ca="1" si="2"/>
        <v>PB/JF</v>
      </c>
      <c r="F4" s="14">
        <f t="shared" ca="1" si="2"/>
        <v>0</v>
      </c>
      <c r="G4" s="15" t="str">
        <f ca="1">IF($C$1="ALL",IF(INDIRECT(AH4)="","",IF(INDIRECT(AG4)&gt;MAX(Budget!$B$2,Budget!$E$2),"","Y")),IF(ISERR(FIND($C$1,INDIRECT(AH4))),"",IF(INDIRECT(AG4)&gt;MAX(Budget!$B$2,Budget!$E$2),"","Y")))</f>
        <v/>
      </c>
      <c r="H4" s="15">
        <f>ROW(G4)</f>
        <v>4</v>
      </c>
      <c r="I4" s="15">
        <f ca="1">VLOOKUP("Y",INDIRECT(K4),2,FALSE)</f>
        <v>5</v>
      </c>
      <c r="J4" s="15">
        <f ca="1">VLOOKUP("Y",INDIRECT(K4),2,FALSE)</f>
        <v>5</v>
      </c>
      <c r="K4" s="15" t="str">
        <f>CONCATENATE("G",J3+1,":I",'ALL JOBS'!$K$10)</f>
        <v>G3:I71</v>
      </c>
      <c r="L4" s="15" t="str">
        <f ca="1">CONCATENATE("'ALL JOBS'!A",$J4+$K$3)</f>
        <v>'ALL JOBS'!A11</v>
      </c>
      <c r="M4" s="15" t="str">
        <f t="shared" ref="M4:M67" ca="1" si="3">CONCATENATE("'ALL JOBS'!B",$J4+$K$3)</f>
        <v>'ALL JOBS'!B11</v>
      </c>
      <c r="N4" s="15" t="str">
        <f t="shared" ref="N4:N67" ca="1" si="4">CONCATENATE("'ALL JOBS'!D",$J4+$K$3)</f>
        <v>'ALL JOBS'!D11</v>
      </c>
      <c r="O4" s="15" t="str">
        <f t="shared" ref="O4:O67" ca="1" si="5">CONCATENATE("'ALL JOBS'!E",$J4+$K$3)</f>
        <v>'ALL JOBS'!E11</v>
      </c>
      <c r="P4" s="15" t="str">
        <f t="shared" ref="P4:P67" ca="1" si="6">CONCATENATE("'ALL JOBS'!F",$J4+$K$3)</f>
        <v>'ALL JOBS'!F11</v>
      </c>
      <c r="Q4" s="15" t="str">
        <f t="shared" ref="Q4:Q67" ca="1" si="7">CONCATENATE("'ALL JOBS'!G",$J4+$K$3)</f>
        <v>'ALL JOBS'!G11</v>
      </c>
      <c r="R4" s="15" t="str">
        <f t="shared" ref="R4:R67" ca="1" si="8">CONCATENATE("'ALL JOBS'!D",$I4+6)</f>
        <v>'ALL JOBS'!D11</v>
      </c>
      <c r="S4" s="13" t="str">
        <f ca="1">IF(ISNA(I4),"","Y")</f>
        <v>Y</v>
      </c>
      <c r="T4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4" s="15">
        <f>H4</f>
        <v>4</v>
      </c>
      <c r="V4" s="15">
        <f ca="1">IF(AND(ISNA(I4),ISNA(I3),ISNA(I1)),VLOOKUP("Y",INDIRECT(W4),2,FALSE),V3)</f>
        <v>2</v>
      </c>
      <c r="W4" s="15" t="str">
        <f>CONCATENATE("T",V3+1,":U72")</f>
        <v>T3:U72</v>
      </c>
      <c r="X4" s="15" t="str">
        <f ca="1">CONCATENATE("'ALL JOBS'!A",$V4+$K$3)</f>
        <v>'ALL JOBS'!A8</v>
      </c>
      <c r="Y4" s="15" t="str">
        <f t="shared" ref="Y4:Y67" ca="1" si="9">CONCATENATE("'ALL JOBS'!B",$V4+$K$3)</f>
        <v>'ALL JOBS'!B8</v>
      </c>
      <c r="Z4" s="15" t="str">
        <f t="shared" ref="Z4:Z67" ca="1" si="10">CONCATENATE("'ALL JOBS'!D",$V4+$K$3)</f>
        <v>'ALL JOBS'!D8</v>
      </c>
      <c r="AA4" s="15" t="str">
        <f t="shared" ref="AA4:AA67" ca="1" si="11">CONCATENATE("'ALL JOBS'!E",$V4+$K$3)</f>
        <v>'ALL JOBS'!E8</v>
      </c>
      <c r="AB4" s="15" t="str">
        <f ca="1">CONCATENATE("'ALL JOBS'!F",$V4+$K$3)</f>
        <v>'ALL JOBS'!F8</v>
      </c>
      <c r="AC4" s="15" t="str">
        <f t="shared" ref="AC4:AC67" ca="1" si="12">CONCATENATE("'ALL JOBS'!G",$V4+$K$3)</f>
        <v>'ALL JOBS'!G8</v>
      </c>
      <c r="AD4" s="15" t="str">
        <f t="shared" ref="AD4:AD67" ca="1" si="13">CONCATENATE("'ALL JOBS'!D",$I4+6)</f>
        <v>'ALL JOBS'!D11</v>
      </c>
      <c r="AF4" s="15">
        <f ca="1">IF(AND($AE5="Y",$AE4=""),"",IF($AE4="Y",0,IF($S4="Y",ROW(B4)-3,"")))</f>
        <v>1</v>
      </c>
      <c r="AG4" s="15" t="str">
        <f>CONCATENATE("'ALL JOBS'!D",ROW(AF4)+6)</f>
        <v>'ALL JOBS'!D10</v>
      </c>
      <c r="AH4" s="15" t="str">
        <f>CONCATENATE("'ALL JOBS'!F",ROW(AF4)+6)</f>
        <v>'ALL JOBS'!F10</v>
      </c>
      <c r="AJ4" s="15" t="b">
        <f ca="1">(OR(INDIRECT(L4)=MAX('ALL JOBS'!A:A),AJ3))</f>
        <v>0</v>
      </c>
    </row>
    <row r="5" spans="1:40" ht="30" customHeight="1">
      <c r="A5" s="15">
        <f t="shared" ca="1" si="0"/>
        <v>2</v>
      </c>
      <c r="B5" s="12" t="str">
        <f t="shared" ca="1" si="1"/>
        <v>Check fire extinguishers (and shake powder to remove lumpyness) and fire blanket 2026: See 4 below</v>
      </c>
      <c r="C5" s="13">
        <f t="shared" ca="1" si="2"/>
        <v>0</v>
      </c>
      <c r="D5" s="13" t="str">
        <f t="shared" ca="1" si="2"/>
        <v>Start of Season</v>
      </c>
      <c r="E5" s="13" t="str">
        <f t="shared" ca="1" si="2"/>
        <v>DA</v>
      </c>
      <c r="F5" s="14">
        <f t="shared" ca="1" si="2"/>
        <v>0</v>
      </c>
      <c r="G5" s="15" t="str">
        <f ca="1">IF($C$1="ALL",IF(INDIRECT(AH5)="","",IF(INDIRECT(AG5)&gt;MAX(Budget!$B$2,Budget!$E$2),"","Y")),IF(ISERR(FIND($C$1,INDIRECT(AH5))),"",IF(INDIRECT(AG5)&gt;MAX(Budget!$B$2,Budget!$E$2),"","Y")))</f>
        <v>Y</v>
      </c>
      <c r="H5" s="15">
        <f>ROW(G5)</f>
        <v>5</v>
      </c>
      <c r="I5" s="15">
        <f ca="1">VLOOKUP("Y",INDIRECT(K5),2,FALSE)</f>
        <v>6</v>
      </c>
      <c r="J5" s="15">
        <f ca="1">VLOOKUP("Y",INDIRECT(K5),2,FALSE)</f>
        <v>6</v>
      </c>
      <c r="K5" s="15" t="str">
        <f ca="1">CONCATENATE("G",J4+1,":I",'ALL JOBS'!$K$10)</f>
        <v>G6:I71</v>
      </c>
      <c r="L5" s="15" t="str">
        <f t="shared" ref="L5:L68" ca="1" si="14">CONCATENATE("'ALL JOBS'!A",$J5+$K$3)</f>
        <v>'ALL JOBS'!A12</v>
      </c>
      <c r="M5" s="15" t="str">
        <f t="shared" ca="1" si="3"/>
        <v>'ALL JOBS'!B12</v>
      </c>
      <c r="N5" s="15" t="str">
        <f t="shared" ca="1" si="4"/>
        <v>'ALL JOBS'!D12</v>
      </c>
      <c r="O5" s="15" t="str">
        <f t="shared" ca="1" si="5"/>
        <v>'ALL JOBS'!E12</v>
      </c>
      <c r="P5" s="15" t="str">
        <f t="shared" ca="1" si="6"/>
        <v>'ALL JOBS'!F12</v>
      </c>
      <c r="Q5" s="15" t="str">
        <f t="shared" ca="1" si="7"/>
        <v>'ALL JOBS'!G12</v>
      </c>
      <c r="R5" s="15" t="str">
        <f t="shared" ca="1" si="8"/>
        <v>'ALL JOBS'!D12</v>
      </c>
      <c r="S5" s="13" t="str">
        <f ca="1">IF(ISNA(I5),"","Y")</f>
        <v>Y</v>
      </c>
      <c r="T5" s="16" t="str">
        <f>IF($C$1="ALL",IF('ALL JOBS'!F11="","",IF('ALL JOBS'!D11&lt;=Budget!$B$2,"","Y")),IF(ISERR(FIND($C$1,'ALL JOBS'!F11)),IF($E$1="","",IF(ISERR(FIND($E$1,'ALL JOBS'!F11)),"",IF('ALL JOBS'!D11&lt;=Budget!$B$2,"","Y"))),IF('ALL JOBS'!D11&lt;=Budget!$B$2,"","Y")))</f>
        <v/>
      </c>
      <c r="U5" s="15">
        <f>H5</f>
        <v>5</v>
      </c>
      <c r="V5" s="15">
        <f ca="1">IF(AND(ISNA(I5),ISNA(I4),ISNA(I2)),VLOOKUP("Y",INDIRECT(W5),2,FALSE),V4)</f>
        <v>2</v>
      </c>
      <c r="W5" s="15" t="str">
        <f ca="1">CONCATENATE("T",V4+1,":U72")</f>
        <v>T3:U72</v>
      </c>
      <c r="X5" s="15" t="str">
        <f t="shared" ref="X5:X68" ca="1" si="15">CONCATENATE("'ALL JOBS'!A",$V5+$K$3)</f>
        <v>'ALL JOBS'!A8</v>
      </c>
      <c r="Y5" s="15" t="str">
        <f t="shared" ca="1" si="9"/>
        <v>'ALL JOBS'!B8</v>
      </c>
      <c r="Z5" s="15" t="str">
        <f t="shared" ca="1" si="10"/>
        <v>'ALL JOBS'!D8</v>
      </c>
      <c r="AA5" s="15" t="str">
        <f t="shared" ca="1" si="11"/>
        <v>'ALL JOBS'!E8</v>
      </c>
      <c r="AB5" s="15" t="str">
        <f t="shared" ref="AB5:AB68" ca="1" si="16">CONCATENATE("'ALL JOBS'!F",$V5+$K$3)</f>
        <v>'ALL JOBS'!F8</v>
      </c>
      <c r="AC5" s="15" t="str">
        <f t="shared" ca="1" si="12"/>
        <v>'ALL JOBS'!G8</v>
      </c>
      <c r="AD5" s="15" t="str">
        <f t="shared" ca="1" si="13"/>
        <v>'ALL JOBS'!D12</v>
      </c>
      <c r="AF5" s="15">
        <f ca="1">IF(AND($AE6="Y",$AE5=""),"",IF($AE5="Y",0,IF($S5="Y",ROW(B5)-3,"")))</f>
        <v>2</v>
      </c>
      <c r="AG5" s="15" t="str">
        <f>CONCATENATE("'ALL JOBS'!D",ROW(AF5)+6)</f>
        <v>'ALL JOBS'!D11</v>
      </c>
      <c r="AH5" s="15" t="str">
        <f>CONCATENATE("'ALL JOBS'!F",ROW(AF5)+6)</f>
        <v>'ALL JOBS'!F11</v>
      </c>
      <c r="AJ5" s="15" t="b">
        <f ca="1">(OR(INDIRECT(L5)=MAX('ALL JOBS'!A:A),AJ4))</f>
        <v>0</v>
      </c>
    </row>
    <row r="6" spans="1:40" ht="30" customHeight="1">
      <c r="A6" s="15">
        <f t="shared" ca="1" si="0"/>
        <v>3</v>
      </c>
      <c r="B6" s="12" t="str">
        <f t="shared" ca="1" si="1"/>
        <v>Replace CO detector (done in 2023)</v>
      </c>
      <c r="C6" s="13">
        <f t="shared" ca="1" si="2"/>
        <v>0</v>
      </c>
      <c r="D6" s="13" t="str">
        <f t="shared" ca="1" si="2"/>
        <v>Start of Season</v>
      </c>
      <c r="E6" s="13" t="str">
        <f t="shared" ca="1" si="2"/>
        <v>DA</v>
      </c>
      <c r="F6" s="14">
        <f t="shared" ca="1" si="2"/>
        <v>0</v>
      </c>
      <c r="G6" s="15" t="str">
        <f ca="1">IF($C$1="ALL",IF(INDIRECT(AH6)="","",IF(INDIRECT(AG6)&gt;MAX(Budget!$B$2,Budget!$E$2),"","Y")),IF(ISERR(FIND($C$1,INDIRECT(AH6))),"",IF(INDIRECT(AG6)&gt;MAX(Budget!$B$2,Budget!$E$2),"","Y")))</f>
        <v>Y</v>
      </c>
      <c r="H6" s="15">
        <f>ROW(G6)</f>
        <v>6</v>
      </c>
      <c r="I6" s="15">
        <f ca="1">VLOOKUP("Y",INDIRECT(K6),2,FALSE)</f>
        <v>7</v>
      </c>
      <c r="J6" s="15">
        <f ca="1">VLOOKUP("Y",INDIRECT(K6),2,FALSE)</f>
        <v>7</v>
      </c>
      <c r="K6" s="15" t="str">
        <f ca="1">CONCATENATE("G",J5+1,":I",'ALL JOBS'!$K$10)</f>
        <v>G7:I71</v>
      </c>
      <c r="L6" s="15" t="str">
        <f t="shared" ca="1" si="14"/>
        <v>'ALL JOBS'!A13</v>
      </c>
      <c r="M6" s="15" t="str">
        <f t="shared" ca="1" si="3"/>
        <v>'ALL JOBS'!B13</v>
      </c>
      <c r="N6" s="15" t="str">
        <f t="shared" ca="1" si="4"/>
        <v>'ALL JOBS'!D13</v>
      </c>
      <c r="O6" s="15" t="str">
        <f t="shared" ca="1" si="5"/>
        <v>'ALL JOBS'!E13</v>
      </c>
      <c r="P6" s="15" t="str">
        <f t="shared" ca="1" si="6"/>
        <v>'ALL JOBS'!F13</v>
      </c>
      <c r="Q6" s="15" t="str">
        <f t="shared" ca="1" si="7"/>
        <v>'ALL JOBS'!G13</v>
      </c>
      <c r="R6" s="15" t="str">
        <f t="shared" ca="1" si="8"/>
        <v>'ALL JOBS'!D13</v>
      </c>
      <c r="S6" s="13" t="str">
        <f ca="1">IF(ISNA(I6),"","Y")</f>
        <v>Y</v>
      </c>
      <c r="T6" s="16" t="str">
        <f>IF($C$1="ALL",IF('ALL JOBS'!F12="","",IF('ALL JOBS'!D12&lt;=Budget!$B$2,"","Y")),IF(ISERR(FIND($C$1,'ALL JOBS'!F12)),IF($E$1="","",IF(ISERR(FIND($E$1,'ALL JOBS'!F12)),"",IF('ALL JOBS'!D12&lt;=Budget!$B$2,"","Y"))),IF('ALL JOBS'!D12&lt;=Budget!$B$2,"","Y")))</f>
        <v/>
      </c>
      <c r="U6" s="15">
        <f>H6</f>
        <v>6</v>
      </c>
      <c r="V6" s="15">
        <f ca="1">IF(AND(ISNA(I6),ISNA(I5),ISNA(I3)),VLOOKUP("Y",INDIRECT(W6),2,FALSE),V5)</f>
        <v>2</v>
      </c>
      <c r="W6" s="15" t="str">
        <f ca="1">CONCATENATE("T",V5+1,":U72")</f>
        <v>T3:U72</v>
      </c>
      <c r="X6" s="15" t="str">
        <f t="shared" ca="1" si="15"/>
        <v>'ALL JOBS'!A8</v>
      </c>
      <c r="Y6" s="15" t="str">
        <f t="shared" ca="1" si="9"/>
        <v>'ALL JOBS'!B8</v>
      </c>
      <c r="Z6" s="15" t="str">
        <f t="shared" ca="1" si="10"/>
        <v>'ALL JOBS'!D8</v>
      </c>
      <c r="AA6" s="15" t="str">
        <f t="shared" ca="1" si="11"/>
        <v>'ALL JOBS'!E8</v>
      </c>
      <c r="AB6" s="15" t="str">
        <f t="shared" ca="1" si="16"/>
        <v>'ALL JOBS'!F8</v>
      </c>
      <c r="AC6" s="15" t="str">
        <f t="shared" ca="1" si="12"/>
        <v>'ALL JOBS'!G8</v>
      </c>
      <c r="AD6" s="15" t="str">
        <f t="shared" ca="1" si="13"/>
        <v>'ALL JOBS'!D13</v>
      </c>
      <c r="AF6" s="15">
        <f ca="1">IF(AND($AE7="Y",$AE6=""),"",IF($AE6="Y",0,IF($S6="Y",ROW(B6)-3,"")))</f>
        <v>3</v>
      </c>
      <c r="AG6" s="15" t="str">
        <f>CONCATENATE("'ALL JOBS'!D",ROW(AF6)+6)</f>
        <v>'ALL JOBS'!D12</v>
      </c>
      <c r="AH6" s="15" t="str">
        <f>CONCATENATE("'ALL JOBS'!F",ROW(AF6)+6)</f>
        <v>'ALL JOBS'!F12</v>
      </c>
      <c r="AJ6" s="15" t="b">
        <f ca="1">(OR(INDIRECT(L6)=MAX('ALL JOBS'!A:A),AJ5))</f>
        <v>0</v>
      </c>
    </row>
    <row r="7" spans="1:40" ht="30" customHeight="1">
      <c r="A7" s="15">
        <f t="shared" ca="1" si="0"/>
        <v>4</v>
      </c>
      <c r="B7" s="12" t="str">
        <f t="shared" ca="1" si="1"/>
        <v>Check compliance issues. Check for new/changed requirements.  For May 2026: Arrange Survey</v>
      </c>
      <c r="C7" s="13">
        <f t="shared" ca="1" si="2"/>
        <v>0</v>
      </c>
      <c r="D7" s="13" t="str">
        <f t="shared" ca="1" si="2"/>
        <v>Start of Season</v>
      </c>
      <c r="E7" s="13" t="str">
        <f t="shared" ca="1" si="2"/>
        <v>DA</v>
      </c>
      <c r="F7" s="14">
        <f t="shared" ca="1" si="2"/>
        <v>0</v>
      </c>
      <c r="G7" s="15" t="str">
        <f ca="1">IF($C$1="ALL",IF(INDIRECT(AH7)="","",IF(INDIRECT(AG7)&gt;MAX(Budget!$B$2,Budget!$E$2),"","Y")),IF(ISERR(FIND($C$1,INDIRECT(AH7))),"",IF(INDIRECT(AG7)&gt;MAX(Budget!$B$2,Budget!$E$2),"","Y")))</f>
        <v>Y</v>
      </c>
      <c r="H7" s="15">
        <f>ROW(G7)</f>
        <v>7</v>
      </c>
      <c r="I7" s="15">
        <f ca="1">VLOOKUP("Y",INDIRECT(K7),2,FALSE)</f>
        <v>8</v>
      </c>
      <c r="J7" s="15">
        <f ca="1">VLOOKUP("Y",INDIRECT(K7),2,FALSE)</f>
        <v>8</v>
      </c>
      <c r="K7" s="15" t="str">
        <f ca="1">CONCATENATE("G",J6+1,":I",'ALL JOBS'!$K$10)</f>
        <v>G8:I71</v>
      </c>
      <c r="L7" s="15" t="str">
        <f t="shared" ca="1" si="14"/>
        <v>'ALL JOBS'!A14</v>
      </c>
      <c r="M7" s="15" t="str">
        <f t="shared" ca="1" si="3"/>
        <v>'ALL JOBS'!B14</v>
      </c>
      <c r="N7" s="15" t="str">
        <f t="shared" ca="1" si="4"/>
        <v>'ALL JOBS'!D14</v>
      </c>
      <c r="O7" s="15" t="str">
        <f t="shared" ca="1" si="5"/>
        <v>'ALL JOBS'!E14</v>
      </c>
      <c r="P7" s="15" t="str">
        <f t="shared" ca="1" si="6"/>
        <v>'ALL JOBS'!F14</v>
      </c>
      <c r="Q7" s="15" t="str">
        <f t="shared" ca="1" si="7"/>
        <v>'ALL JOBS'!G14</v>
      </c>
      <c r="R7" s="15" t="str">
        <f t="shared" ca="1" si="8"/>
        <v>'ALL JOBS'!D14</v>
      </c>
      <c r="S7" s="13" t="str">
        <f ca="1">IF(ISNA(I7),"","Y")</f>
        <v>Y</v>
      </c>
      <c r="T7" s="16" t="str">
        <f>IF($C$1="ALL",IF('ALL JOBS'!F13="","",IF('ALL JOBS'!D13&lt;=Budget!$B$2,"","Y")),IF(ISERR(FIND($C$1,'ALL JOBS'!F13)),IF($E$1="","",IF(ISERR(FIND($E$1,'ALL JOBS'!F13)),"",IF('ALL JOBS'!D13&lt;=Budget!$B$2,"","Y"))),IF('ALL JOBS'!D13&lt;=Budget!$B$2,"","Y")))</f>
        <v/>
      </c>
      <c r="U7" s="15">
        <f>H7</f>
        <v>7</v>
      </c>
      <c r="V7" s="15">
        <f ca="1">IF(AND(ISNA(I7),ISNA(I6),ISNA(I4)),VLOOKUP("Y",INDIRECT(W7),2,FALSE),V6)</f>
        <v>2</v>
      </c>
      <c r="W7" s="15" t="str">
        <f ca="1">CONCATENATE("T",V6+1,":U72")</f>
        <v>T3:U72</v>
      </c>
      <c r="X7" s="15" t="str">
        <f t="shared" ca="1" si="15"/>
        <v>'ALL JOBS'!A8</v>
      </c>
      <c r="Y7" s="15" t="str">
        <f t="shared" ca="1" si="9"/>
        <v>'ALL JOBS'!B8</v>
      </c>
      <c r="Z7" s="15" t="str">
        <f t="shared" ca="1" si="10"/>
        <v>'ALL JOBS'!D8</v>
      </c>
      <c r="AA7" s="15" t="str">
        <f t="shared" ca="1" si="11"/>
        <v>'ALL JOBS'!E8</v>
      </c>
      <c r="AB7" s="15" t="str">
        <f t="shared" ca="1" si="16"/>
        <v>'ALL JOBS'!F8</v>
      </c>
      <c r="AC7" s="15" t="str">
        <f t="shared" ca="1" si="12"/>
        <v>'ALL JOBS'!G8</v>
      </c>
      <c r="AD7" s="15" t="str">
        <f t="shared" ca="1" si="13"/>
        <v>'ALL JOBS'!D14</v>
      </c>
      <c r="AF7" s="15">
        <f ca="1">IF(AND($AE8="Y",$AE7=""),"",IF($AE7="Y",0,IF($S7="Y",ROW(B7)-3,"")))</f>
        <v>4</v>
      </c>
      <c r="AG7" s="15" t="str">
        <f>CONCATENATE("'ALL JOBS'!D",ROW(AF7)+6)</f>
        <v>'ALL JOBS'!D13</v>
      </c>
      <c r="AH7" s="15" t="str">
        <f>CONCATENATE("'ALL JOBS'!F",ROW(AF7)+6)</f>
        <v>'ALL JOBS'!F13</v>
      </c>
      <c r="AJ7" s="15" t="b">
        <f ca="1">(OR(INDIRECT(L7)=MAX('ALL JOBS'!A:A),AJ6))</f>
        <v>0</v>
      </c>
    </row>
    <row r="8" spans="1:40" ht="30" customHeight="1">
      <c r="A8" s="15">
        <f t="shared" ca="1" si="0"/>
        <v>5</v>
      </c>
      <c r="B8" s="12" t="str">
        <f t="shared" ca="1" si="1"/>
        <v xml:space="preserve">Pressure test the gas lines </v>
      </c>
      <c r="C8" s="13">
        <f t="shared" ca="1" si="2"/>
        <v>0</v>
      </c>
      <c r="D8" s="13" t="str">
        <f t="shared" ca="1" si="2"/>
        <v>Start of Season</v>
      </c>
      <c r="E8" s="13" t="str">
        <f t="shared" ca="1" si="2"/>
        <v>DRK</v>
      </c>
      <c r="F8" s="14">
        <f t="shared" ca="1" si="2"/>
        <v>0</v>
      </c>
      <c r="G8" s="15" t="str">
        <f ca="1">IF($C$1="ALL",IF(INDIRECT(AH8)="","",IF(INDIRECT(AG8)&gt;MAX(Budget!$B$2,Budget!$E$2),"","Y")),IF(ISERR(FIND($C$1,INDIRECT(AH8))),"",IF(INDIRECT(AG8)&gt;MAX(Budget!$B$2,Budget!$E$2),"","Y")))</f>
        <v>Y</v>
      </c>
      <c r="H8" s="15">
        <f>ROW(G8)</f>
        <v>8</v>
      </c>
      <c r="I8" s="15">
        <f ca="1">VLOOKUP("Y",INDIRECT(K8),2,FALSE)</f>
        <v>9</v>
      </c>
      <c r="J8" s="15">
        <f ca="1">VLOOKUP("Y",INDIRECT(K8),2,FALSE)</f>
        <v>9</v>
      </c>
      <c r="K8" s="15" t="str">
        <f ca="1">CONCATENATE("G",J7+1,":I",'ALL JOBS'!$K$10)</f>
        <v>G9:I71</v>
      </c>
      <c r="L8" s="15" t="str">
        <f t="shared" ca="1" si="14"/>
        <v>'ALL JOBS'!A15</v>
      </c>
      <c r="M8" s="15" t="str">
        <f t="shared" ca="1" si="3"/>
        <v>'ALL JOBS'!B15</v>
      </c>
      <c r="N8" s="15" t="str">
        <f t="shared" ca="1" si="4"/>
        <v>'ALL JOBS'!D15</v>
      </c>
      <c r="O8" s="15" t="str">
        <f t="shared" ca="1" si="5"/>
        <v>'ALL JOBS'!E15</v>
      </c>
      <c r="P8" s="15" t="str">
        <f t="shared" ca="1" si="6"/>
        <v>'ALL JOBS'!F15</v>
      </c>
      <c r="Q8" s="15" t="str">
        <f t="shared" ca="1" si="7"/>
        <v>'ALL JOBS'!G15</v>
      </c>
      <c r="R8" s="15" t="str">
        <f t="shared" ca="1" si="8"/>
        <v>'ALL JOBS'!D15</v>
      </c>
      <c r="S8" s="13" t="str">
        <f ca="1">IF(ISNA(I8),"","Y")</f>
        <v>Y</v>
      </c>
      <c r="T8" s="16" t="str">
        <f>IF($C$1="ALL",IF('ALL JOBS'!F14="","",IF('ALL JOBS'!D14&lt;=Budget!$B$2,"","Y")),IF(ISERR(FIND($C$1,'ALL JOBS'!F14)),IF($E$1="","",IF(ISERR(FIND($E$1,'ALL JOBS'!F14)),"",IF('ALL JOBS'!D14&lt;=Budget!$B$2,"","Y"))),IF('ALL JOBS'!D14&lt;=Budget!$B$2,"","Y")))</f>
        <v/>
      </c>
      <c r="U8" s="15">
        <f>H8</f>
        <v>8</v>
      </c>
      <c r="V8" s="15">
        <f ca="1">IF(AND(ISNA(I8),ISNA(I7),ISNA(I5)),VLOOKUP("Y",INDIRECT(W8),2,FALSE),V7)</f>
        <v>2</v>
      </c>
      <c r="W8" s="15" t="str">
        <f ca="1">CONCATENATE("T",V7+1,":U72")</f>
        <v>T3:U72</v>
      </c>
      <c r="X8" s="15" t="str">
        <f t="shared" ca="1" si="15"/>
        <v>'ALL JOBS'!A8</v>
      </c>
      <c r="Y8" s="15" t="str">
        <f t="shared" ca="1" si="9"/>
        <v>'ALL JOBS'!B8</v>
      </c>
      <c r="Z8" s="15" t="str">
        <f t="shared" ca="1" si="10"/>
        <v>'ALL JOBS'!D8</v>
      </c>
      <c r="AA8" s="15" t="str">
        <f t="shared" ca="1" si="11"/>
        <v>'ALL JOBS'!E8</v>
      </c>
      <c r="AB8" s="15" t="str">
        <f t="shared" ca="1" si="16"/>
        <v>'ALL JOBS'!F8</v>
      </c>
      <c r="AC8" s="15" t="str">
        <f t="shared" ca="1" si="12"/>
        <v>'ALL JOBS'!G8</v>
      </c>
      <c r="AD8" s="15" t="str">
        <f t="shared" ca="1" si="13"/>
        <v>'ALL JOBS'!D15</v>
      </c>
      <c r="AF8" s="15">
        <f ca="1">IF(AND($AE9="Y",$AE8=""),"",IF($AE8="Y",0,IF($S8="Y",ROW(B8)-3,"")))</f>
        <v>5</v>
      </c>
      <c r="AG8" s="15" t="str">
        <f>CONCATENATE("'ALL JOBS'!D",ROW(AF8)+6)</f>
        <v>'ALL JOBS'!D14</v>
      </c>
      <c r="AH8" s="15" t="str">
        <f>CONCATENATE("'ALL JOBS'!F",ROW(AF8)+6)</f>
        <v>'ALL JOBS'!F14</v>
      </c>
      <c r="AJ8" s="15" t="b">
        <f ca="1">(OR(INDIRECT(L8)=MAX('ALL JOBS'!A:A),AJ7))</f>
        <v>0</v>
      </c>
      <c r="AN8" s="15">
        <v>1</v>
      </c>
    </row>
    <row r="9" spans="1:40" ht="30" customHeight="1">
      <c r="A9" s="15">
        <f t="shared" ca="1" si="0"/>
        <v>6</v>
      </c>
      <c r="B9" s="12" t="str">
        <f t="shared" ca="1" si="1"/>
        <v>Check for any soft board (replace as necessary) and water under floor 2026: Investigate bouncy floor areas</v>
      </c>
      <c r="C9" s="13">
        <f t="shared" ref="C9:C19" ca="1" si="17">IF(AND($AE10="Y",$AE9=""),"",IF($AE9="Y",INDIRECT(Z9),IF($S9="Y",INDIRECT(N9),"")))</f>
        <v>0</v>
      </c>
      <c r="D9" s="13" t="str">
        <f t="shared" ref="D9:D19" ca="1" si="18">IF(AND($AE10="Y",$AE9=""),"",IF($AE9="Y",INDIRECT(AA9),IF($S9="Y",INDIRECT(O9),"")))</f>
        <v>Start of Season</v>
      </c>
      <c r="E9" s="13" t="str">
        <f t="shared" ref="E9:E19" ca="1" si="19">IF(AND($AE10="Y",$AE9=""),"",IF($AE9="Y",INDIRECT(AB9),IF($S9="Y",INDIRECT(P9),"")))</f>
        <v>DA/DB</v>
      </c>
      <c r="F9" s="14">
        <f t="shared" ref="F9:F19" ca="1" si="20">IF(AND($AE10="Y",$AE9=""),"",IF($AE9="Y",INDIRECT(AC9),IF($S9="Y",INDIRECT(Q9),"")))</f>
        <v>0</v>
      </c>
      <c r="G9" s="15" t="str">
        <f ca="1">IF($C$1="ALL",IF(INDIRECT(AH9)="","",IF(INDIRECT(AG9)&gt;MAX(Budget!$B$2,Budget!$E$2),"","Y")),IF(ISERR(FIND($C$1,INDIRECT(AH9))),"",IF(INDIRECT(AG9)&gt;MAX(Budget!$B$2,Budget!$E$2),"","Y")))</f>
        <v>Y</v>
      </c>
      <c r="H9" s="15">
        <f t="shared" ref="H9:H19" si="21">ROW(G9)</f>
        <v>9</v>
      </c>
      <c r="I9" s="15">
        <f t="shared" ref="I9:I19" ca="1" si="22">VLOOKUP("Y",INDIRECT(K9),2,FALSE)</f>
        <v>10</v>
      </c>
      <c r="J9" s="15">
        <f t="shared" ref="J9:J19" ca="1" si="23">VLOOKUP("Y",INDIRECT(K9),2,FALSE)</f>
        <v>10</v>
      </c>
      <c r="K9" s="15" t="str">
        <f ca="1">CONCATENATE("G",J8+1,":I",'ALL JOBS'!$K$10)</f>
        <v>G10:I71</v>
      </c>
      <c r="L9" s="15" t="str">
        <f t="shared" ca="1" si="14"/>
        <v>'ALL JOBS'!A16</v>
      </c>
      <c r="M9" s="15" t="str">
        <f t="shared" ca="1" si="3"/>
        <v>'ALL JOBS'!B16</v>
      </c>
      <c r="N9" s="15" t="str">
        <f t="shared" ca="1" si="4"/>
        <v>'ALL JOBS'!D16</v>
      </c>
      <c r="O9" s="15" t="str">
        <f t="shared" ca="1" si="5"/>
        <v>'ALL JOBS'!E16</v>
      </c>
      <c r="P9" s="15" t="str">
        <f t="shared" ca="1" si="6"/>
        <v>'ALL JOBS'!F16</v>
      </c>
      <c r="Q9" s="15" t="str">
        <f t="shared" ca="1" si="7"/>
        <v>'ALL JOBS'!G16</v>
      </c>
      <c r="R9" s="15" t="str">
        <f t="shared" ca="1" si="8"/>
        <v>'ALL JOBS'!D16</v>
      </c>
      <c r="S9" s="13" t="str">
        <f t="shared" ref="S9:S19" ca="1" si="24">IF(ISNA(I9),"","Y")</f>
        <v>Y</v>
      </c>
      <c r="T9" s="16" t="str">
        <f>IF($C$1="ALL",IF('ALL JOBS'!F15="","",IF('ALL JOBS'!D15&lt;=Budget!$B$2,"","Y")),IF(ISERR(FIND($C$1,'ALL JOBS'!F15)),IF($E$1="","",IF(ISERR(FIND($E$1,'ALL JOBS'!F15)),"",IF('ALL JOBS'!D15&lt;=Budget!$B$2,"","Y"))),IF('ALL JOBS'!D15&lt;=Budget!$B$2,"","Y")))</f>
        <v/>
      </c>
      <c r="U9" s="15">
        <f t="shared" ref="U9:U19" si="25">H9</f>
        <v>9</v>
      </c>
      <c r="V9" s="15">
        <f t="shared" ref="V9:V19" ca="1" si="26">IF(AND(ISNA(I9),ISNA(I8),ISNA(I6)),VLOOKUP("Y",INDIRECT(W9),2,FALSE),V8)</f>
        <v>2</v>
      </c>
      <c r="W9" s="15" t="str">
        <f t="shared" ref="W9:W19" ca="1" si="27">CONCATENATE("T",V8+1,":U72")</f>
        <v>T3:U72</v>
      </c>
      <c r="X9" s="15" t="str">
        <f t="shared" ca="1" si="15"/>
        <v>'ALL JOBS'!A8</v>
      </c>
      <c r="Y9" s="15" t="str">
        <f t="shared" ca="1" si="9"/>
        <v>'ALL JOBS'!B8</v>
      </c>
      <c r="Z9" s="15" t="str">
        <f t="shared" ca="1" si="10"/>
        <v>'ALL JOBS'!D8</v>
      </c>
      <c r="AA9" s="15" t="str">
        <f t="shared" ca="1" si="11"/>
        <v>'ALL JOBS'!E8</v>
      </c>
      <c r="AB9" s="15" t="str">
        <f t="shared" ca="1" si="16"/>
        <v>'ALL JOBS'!F8</v>
      </c>
      <c r="AC9" s="15" t="str">
        <f t="shared" ca="1" si="12"/>
        <v>'ALL JOBS'!G8</v>
      </c>
      <c r="AD9" s="15" t="str">
        <f t="shared" ca="1" si="13"/>
        <v>'ALL JOBS'!D16</v>
      </c>
      <c r="AF9" s="15">
        <f t="shared" ref="AF9:AF19" ca="1" si="28">IF(AND($AE10="Y",$AE9=""),"",IF($AE9="Y",0,IF($S9="Y",ROW(B9)-3,"")))</f>
        <v>6</v>
      </c>
      <c r="AG9" s="15" t="str">
        <f t="shared" ref="AG9:AG19" si="29">CONCATENATE("'ALL JOBS'!D",ROW(AF9)+6)</f>
        <v>'ALL JOBS'!D15</v>
      </c>
      <c r="AH9" s="15" t="str">
        <f t="shared" ref="AH9:AH19" si="30">CONCATENATE("'ALL JOBS'!F",ROW(AF9)+6)</f>
        <v>'ALL JOBS'!F15</v>
      </c>
      <c r="AJ9" s="15" t="b">
        <f ca="1">(OR(INDIRECT(L9)=MAX('ALL JOBS'!A:A),AJ8))</f>
        <v>0</v>
      </c>
    </row>
    <row r="10" spans="1:40" ht="30" customHeight="1">
      <c r="A10" s="15">
        <f t="shared" ca="1" si="0"/>
        <v>8</v>
      </c>
      <c r="B10" s="12" t="str">
        <f t="shared" ca="1" si="1"/>
        <v>Check operation of both loos &amp; check fixing.</v>
      </c>
      <c r="C10" s="13">
        <f t="shared" ca="1" si="17"/>
        <v>0</v>
      </c>
      <c r="D10" s="13" t="str">
        <f t="shared" ca="1" si="18"/>
        <v>Start of Season</v>
      </c>
      <c r="E10" s="13" t="str">
        <f t="shared" ca="1" si="19"/>
        <v>DA/TM</v>
      </c>
      <c r="F10" s="14">
        <f t="shared" ca="1" si="20"/>
        <v>0</v>
      </c>
      <c r="G10" s="15" t="str">
        <f ca="1">IF($C$1="ALL",IF(INDIRECT(AH10)="","",IF(INDIRECT(AG10)&gt;MAX(Budget!$B$2,Budget!$E$2),"","Y")),IF(ISERR(FIND($C$1,INDIRECT(AH10))),"",IF(INDIRECT(AG10)&gt;MAX(Budget!$B$2,Budget!$E$2),"","Y")))</f>
        <v>Y</v>
      </c>
      <c r="H10" s="15">
        <f t="shared" si="21"/>
        <v>10</v>
      </c>
      <c r="I10" s="15">
        <f t="shared" ca="1" si="22"/>
        <v>12</v>
      </c>
      <c r="J10" s="15">
        <f t="shared" ca="1" si="23"/>
        <v>12</v>
      </c>
      <c r="K10" s="15" t="str">
        <f ca="1">CONCATENATE("G",J9+1,":I",'ALL JOBS'!$K$10)</f>
        <v>G11:I71</v>
      </c>
      <c r="L10" s="15" t="str">
        <f t="shared" ca="1" si="14"/>
        <v>'ALL JOBS'!A18</v>
      </c>
      <c r="M10" s="15" t="str">
        <f t="shared" ca="1" si="3"/>
        <v>'ALL JOBS'!B18</v>
      </c>
      <c r="N10" s="15" t="str">
        <f t="shared" ca="1" si="4"/>
        <v>'ALL JOBS'!D18</v>
      </c>
      <c r="O10" s="15" t="str">
        <f t="shared" ca="1" si="5"/>
        <v>'ALL JOBS'!E18</v>
      </c>
      <c r="P10" s="15" t="str">
        <f t="shared" ca="1" si="6"/>
        <v>'ALL JOBS'!F18</v>
      </c>
      <c r="Q10" s="15" t="str">
        <f t="shared" ca="1" si="7"/>
        <v>'ALL JOBS'!G18</v>
      </c>
      <c r="R10" s="15" t="str">
        <f t="shared" ca="1" si="8"/>
        <v>'ALL JOBS'!D18</v>
      </c>
      <c r="S10" s="13" t="str">
        <f t="shared" ca="1" si="24"/>
        <v>Y</v>
      </c>
      <c r="T10" s="16" t="str">
        <f>IF($C$1="ALL",IF('ALL JOBS'!F16="","",IF('ALL JOBS'!D16&lt;=Budget!$B$2,"","Y")),IF(ISERR(FIND($C$1,'ALL JOBS'!F16)),IF($E$1="","",IF(ISERR(FIND($E$1,'ALL JOBS'!F16)),"",IF('ALL JOBS'!D16&lt;=Budget!$B$2,"","Y"))),IF('ALL JOBS'!D16&lt;=Budget!$B$2,"","Y")))</f>
        <v/>
      </c>
      <c r="U10" s="15">
        <f t="shared" si="25"/>
        <v>10</v>
      </c>
      <c r="V10" s="15">
        <f t="shared" ca="1" si="26"/>
        <v>2</v>
      </c>
      <c r="W10" s="15" t="str">
        <f t="shared" ca="1" si="27"/>
        <v>T3:U72</v>
      </c>
      <c r="X10" s="15" t="str">
        <f t="shared" ca="1" si="15"/>
        <v>'ALL JOBS'!A8</v>
      </c>
      <c r="Y10" s="15" t="str">
        <f t="shared" ca="1" si="9"/>
        <v>'ALL JOBS'!B8</v>
      </c>
      <c r="Z10" s="15" t="str">
        <f t="shared" ca="1" si="10"/>
        <v>'ALL JOBS'!D8</v>
      </c>
      <c r="AA10" s="15" t="str">
        <f t="shared" ca="1" si="11"/>
        <v>'ALL JOBS'!E8</v>
      </c>
      <c r="AB10" s="15" t="str">
        <f t="shared" ca="1" si="16"/>
        <v>'ALL JOBS'!F8</v>
      </c>
      <c r="AC10" s="15" t="str">
        <f t="shared" ca="1" si="12"/>
        <v>'ALL JOBS'!G8</v>
      </c>
      <c r="AD10" s="15" t="str">
        <f t="shared" ca="1" si="13"/>
        <v>'ALL JOBS'!D18</v>
      </c>
      <c r="AF10" s="15">
        <f t="shared" ca="1" si="28"/>
        <v>7</v>
      </c>
      <c r="AG10" s="15" t="str">
        <f t="shared" si="29"/>
        <v>'ALL JOBS'!D16</v>
      </c>
      <c r="AH10" s="15" t="str">
        <f t="shared" si="30"/>
        <v>'ALL JOBS'!F16</v>
      </c>
      <c r="AJ10" s="15" t="b">
        <f ca="1">(OR(INDIRECT(L10)=MAX('ALL JOBS'!A:A),AJ9))</f>
        <v>0</v>
      </c>
    </row>
    <row r="11" spans="1:40" ht="30" customHeight="1">
      <c r="A11" s="15">
        <f t="shared" ca="1" si="0"/>
        <v>9</v>
      </c>
      <c r="B11" s="12" t="str">
        <f t="shared" ca="1" si="1"/>
        <v>Restock water filters &amp; Freezeban</v>
      </c>
      <c r="C11" s="13">
        <f t="shared" ca="1" si="17"/>
        <v>0</v>
      </c>
      <c r="D11" s="13" t="str">
        <f t="shared" ca="1" si="18"/>
        <v>Start of Season</v>
      </c>
      <c r="E11" s="13" t="str">
        <f t="shared" ca="1" si="19"/>
        <v>DRK</v>
      </c>
      <c r="F11" s="14">
        <f t="shared" ca="1" si="20"/>
        <v>0</v>
      </c>
      <c r="G11" s="15" t="str">
        <f ca="1">IF($C$1="ALL",IF(INDIRECT(AH11)="","",IF(INDIRECT(AG11)&gt;MAX(Budget!$B$2,Budget!$E$2),"","Y")),IF(ISERR(FIND($C$1,INDIRECT(AH11))),"",IF(INDIRECT(AG11)&gt;MAX(Budget!$B$2,Budget!$E$2),"","Y")))</f>
        <v/>
      </c>
      <c r="H11" s="15">
        <f t="shared" si="21"/>
        <v>11</v>
      </c>
      <c r="I11" s="15">
        <f t="shared" ca="1" si="22"/>
        <v>13</v>
      </c>
      <c r="J11" s="15">
        <f t="shared" ca="1" si="23"/>
        <v>13</v>
      </c>
      <c r="K11" s="15" t="str">
        <f ca="1">CONCATENATE("G",J10+1,":I",'ALL JOBS'!$K$10)</f>
        <v>G13:I71</v>
      </c>
      <c r="L11" s="15" t="str">
        <f t="shared" ca="1" si="14"/>
        <v>'ALL JOBS'!A19</v>
      </c>
      <c r="M11" s="15" t="str">
        <f t="shared" ca="1" si="3"/>
        <v>'ALL JOBS'!B19</v>
      </c>
      <c r="N11" s="15" t="str">
        <f t="shared" ca="1" si="4"/>
        <v>'ALL JOBS'!D19</v>
      </c>
      <c r="O11" s="15" t="str">
        <f t="shared" ca="1" si="5"/>
        <v>'ALL JOBS'!E19</v>
      </c>
      <c r="P11" s="15" t="str">
        <f t="shared" ca="1" si="6"/>
        <v>'ALL JOBS'!F19</v>
      </c>
      <c r="Q11" s="15" t="str">
        <f t="shared" ca="1" si="7"/>
        <v>'ALL JOBS'!G19</v>
      </c>
      <c r="R11" s="15" t="str">
        <f t="shared" ca="1" si="8"/>
        <v>'ALL JOBS'!D19</v>
      </c>
      <c r="S11" s="13" t="str">
        <f t="shared" ca="1" si="24"/>
        <v>Y</v>
      </c>
      <c r="T11" s="16" t="str">
        <f>IF($C$1="ALL",IF('ALL JOBS'!F17="","",IF('ALL JOBS'!D17&lt;=Budget!$B$2,"","Y")),IF(ISERR(FIND($C$1,'ALL JOBS'!F17)),IF($E$1="","",IF(ISERR(FIND($E$1,'ALL JOBS'!F17)),"",IF('ALL JOBS'!D17&lt;=Budget!$B$2,"","Y"))),IF('ALL JOBS'!D17&lt;=Budget!$B$2,"","Y")))</f>
        <v/>
      </c>
      <c r="U11" s="15">
        <f t="shared" si="25"/>
        <v>11</v>
      </c>
      <c r="V11" s="15">
        <f t="shared" ca="1" si="26"/>
        <v>2</v>
      </c>
      <c r="W11" s="15" t="str">
        <f t="shared" ca="1" si="27"/>
        <v>T3:U72</v>
      </c>
      <c r="X11" s="15" t="str">
        <f t="shared" ca="1" si="15"/>
        <v>'ALL JOBS'!A8</v>
      </c>
      <c r="Y11" s="15" t="str">
        <f t="shared" ca="1" si="9"/>
        <v>'ALL JOBS'!B8</v>
      </c>
      <c r="Z11" s="15" t="str">
        <f t="shared" ca="1" si="10"/>
        <v>'ALL JOBS'!D8</v>
      </c>
      <c r="AA11" s="15" t="str">
        <f t="shared" ca="1" si="11"/>
        <v>'ALL JOBS'!E8</v>
      </c>
      <c r="AB11" s="15" t="str">
        <f t="shared" ca="1" si="16"/>
        <v>'ALL JOBS'!F8</v>
      </c>
      <c r="AC11" s="15" t="str">
        <f t="shared" ca="1" si="12"/>
        <v>'ALL JOBS'!G8</v>
      </c>
      <c r="AD11" s="15" t="str">
        <f t="shared" ca="1" si="13"/>
        <v>'ALL JOBS'!D19</v>
      </c>
      <c r="AF11" s="15">
        <f t="shared" ca="1" si="28"/>
        <v>8</v>
      </c>
      <c r="AG11" s="15" t="str">
        <f t="shared" si="29"/>
        <v>'ALL JOBS'!D17</v>
      </c>
      <c r="AH11" s="15" t="str">
        <f t="shared" si="30"/>
        <v>'ALL JOBS'!F17</v>
      </c>
      <c r="AJ11" s="15" t="b">
        <f ca="1">(OR(INDIRECT(L11)=MAX('ALL JOBS'!A:A),AJ10))</f>
        <v>0</v>
      </c>
    </row>
    <row r="12" spans="1:40" ht="30" customHeight="1">
      <c r="A12" s="15">
        <f t="shared" ca="1" si="0"/>
        <v>10</v>
      </c>
      <c r="B12" s="12" t="str">
        <f t="shared" ca="1" si="1"/>
        <v>Restock &amp; update handover sheet &amp; email to members</v>
      </c>
      <c r="C12" s="13">
        <f t="shared" ca="1" si="17"/>
        <v>0</v>
      </c>
      <c r="D12" s="13" t="str">
        <f t="shared" ca="1" si="18"/>
        <v>Start of Season</v>
      </c>
      <c r="E12" s="13" t="str">
        <f t="shared" ca="1" si="19"/>
        <v>DRK</v>
      </c>
      <c r="F12" s="14">
        <f t="shared" ca="1" si="20"/>
        <v>0</v>
      </c>
      <c r="G12" s="15" t="str">
        <f ca="1">IF($C$1="ALL",IF(INDIRECT(AH12)="","",IF(INDIRECT(AG12)&gt;MAX(Budget!$B$2,Budget!$E$2),"","Y")),IF(ISERR(FIND($C$1,INDIRECT(AH12))),"",IF(INDIRECT(AG12)&gt;MAX(Budget!$B$2,Budget!$E$2),"","Y")))</f>
        <v>Y</v>
      </c>
      <c r="H12" s="15">
        <f t="shared" si="21"/>
        <v>12</v>
      </c>
      <c r="I12" s="15">
        <f t="shared" ca="1" si="22"/>
        <v>14</v>
      </c>
      <c r="J12" s="15">
        <f t="shared" ca="1" si="23"/>
        <v>14</v>
      </c>
      <c r="K12" s="15" t="str">
        <f ca="1">CONCATENATE("G",J11+1,":I",'ALL JOBS'!$K$10)</f>
        <v>G14:I71</v>
      </c>
      <c r="L12" s="15" t="str">
        <f t="shared" ca="1" si="14"/>
        <v>'ALL JOBS'!A20</v>
      </c>
      <c r="M12" s="15" t="str">
        <f t="shared" ca="1" si="3"/>
        <v>'ALL JOBS'!B20</v>
      </c>
      <c r="N12" s="15" t="str">
        <f t="shared" ca="1" si="4"/>
        <v>'ALL JOBS'!D20</v>
      </c>
      <c r="O12" s="15" t="str">
        <f t="shared" ca="1" si="5"/>
        <v>'ALL JOBS'!E20</v>
      </c>
      <c r="P12" s="15" t="str">
        <f t="shared" ca="1" si="6"/>
        <v>'ALL JOBS'!F20</v>
      </c>
      <c r="Q12" s="15" t="str">
        <f t="shared" ca="1" si="7"/>
        <v>'ALL JOBS'!G20</v>
      </c>
      <c r="R12" s="15" t="str">
        <f t="shared" ca="1" si="8"/>
        <v>'ALL JOBS'!D20</v>
      </c>
      <c r="S12" s="13" t="str">
        <f t="shared" ca="1" si="24"/>
        <v>Y</v>
      </c>
      <c r="T12" s="16" t="str">
        <f>IF($C$1="ALL",IF('ALL JOBS'!F18="","",IF('ALL JOBS'!D18&lt;=Budget!$B$2,"","Y")),IF(ISERR(FIND($C$1,'ALL JOBS'!F18)),IF($E$1="","",IF(ISERR(FIND($E$1,'ALL JOBS'!F18)),"",IF('ALL JOBS'!D18&lt;=Budget!$B$2,"","Y"))),IF('ALL JOBS'!D18&lt;=Budget!$B$2,"","Y")))</f>
        <v/>
      </c>
      <c r="U12" s="15">
        <f t="shared" si="25"/>
        <v>12</v>
      </c>
      <c r="V12" s="15">
        <f t="shared" ca="1" si="26"/>
        <v>2</v>
      </c>
      <c r="W12" s="15" t="str">
        <f t="shared" ca="1" si="27"/>
        <v>T3:U72</v>
      </c>
      <c r="X12" s="15" t="str">
        <f t="shared" ca="1" si="15"/>
        <v>'ALL JOBS'!A8</v>
      </c>
      <c r="Y12" s="15" t="str">
        <f t="shared" ca="1" si="9"/>
        <v>'ALL JOBS'!B8</v>
      </c>
      <c r="Z12" s="15" t="str">
        <f t="shared" ca="1" si="10"/>
        <v>'ALL JOBS'!D8</v>
      </c>
      <c r="AA12" s="15" t="str">
        <f t="shared" ca="1" si="11"/>
        <v>'ALL JOBS'!E8</v>
      </c>
      <c r="AB12" s="15" t="str">
        <f t="shared" ca="1" si="16"/>
        <v>'ALL JOBS'!F8</v>
      </c>
      <c r="AC12" s="15" t="str">
        <f t="shared" ca="1" si="12"/>
        <v>'ALL JOBS'!G8</v>
      </c>
      <c r="AD12" s="15" t="str">
        <f t="shared" ca="1" si="13"/>
        <v>'ALL JOBS'!D20</v>
      </c>
      <c r="AF12" s="15">
        <f t="shared" ca="1" si="28"/>
        <v>9</v>
      </c>
      <c r="AG12" s="15" t="str">
        <f t="shared" si="29"/>
        <v>'ALL JOBS'!D18</v>
      </c>
      <c r="AH12" s="15" t="str">
        <f t="shared" si="30"/>
        <v>'ALL JOBS'!F18</v>
      </c>
      <c r="AJ12" s="15" t="b">
        <f ca="1">(OR(INDIRECT(L12)=MAX('ALL JOBS'!A:A),AJ11))</f>
        <v>0</v>
      </c>
    </row>
    <row r="13" spans="1:40" ht="30" customHeight="1">
      <c r="A13" s="15">
        <f t="shared" ca="1" si="0"/>
        <v>11</v>
      </c>
      <c r="B13" s="12" t="str">
        <f t="shared" ca="1" si="1"/>
        <v>Restock CH antifreeze Check water levels</v>
      </c>
      <c r="C13" s="13">
        <f t="shared" ca="1" si="17"/>
        <v>0</v>
      </c>
      <c r="D13" s="13" t="str">
        <f t="shared" ca="1" si="18"/>
        <v>Start of Season</v>
      </c>
      <c r="E13" s="13" t="str">
        <f t="shared" ca="1" si="19"/>
        <v>DRK</v>
      </c>
      <c r="F13" s="14">
        <f t="shared" ca="1" si="20"/>
        <v>0</v>
      </c>
      <c r="G13" s="15" t="str">
        <f ca="1">IF($C$1="ALL",IF(INDIRECT(AH13)="","",IF(INDIRECT(AG13)&gt;MAX(Budget!$B$2,Budget!$E$2),"","Y")),IF(ISERR(FIND($C$1,INDIRECT(AH13))),"",IF(INDIRECT(AG13)&gt;MAX(Budget!$B$2,Budget!$E$2),"","Y")))</f>
        <v>Y</v>
      </c>
      <c r="H13" s="15">
        <f t="shared" si="21"/>
        <v>13</v>
      </c>
      <c r="I13" s="15">
        <f t="shared" ca="1" si="22"/>
        <v>15</v>
      </c>
      <c r="J13" s="15">
        <f t="shared" ca="1" si="23"/>
        <v>15</v>
      </c>
      <c r="K13" s="15" t="str">
        <f ca="1">CONCATENATE("G",J12+1,":I",'ALL JOBS'!$K$10)</f>
        <v>G15:I71</v>
      </c>
      <c r="L13" s="15" t="str">
        <f t="shared" ca="1" si="14"/>
        <v>'ALL JOBS'!A21</v>
      </c>
      <c r="M13" s="15" t="str">
        <f t="shared" ca="1" si="3"/>
        <v>'ALL JOBS'!B21</v>
      </c>
      <c r="N13" s="15" t="str">
        <f t="shared" ca="1" si="4"/>
        <v>'ALL JOBS'!D21</v>
      </c>
      <c r="O13" s="15" t="str">
        <f t="shared" ca="1" si="5"/>
        <v>'ALL JOBS'!E21</v>
      </c>
      <c r="P13" s="15" t="str">
        <f t="shared" ca="1" si="6"/>
        <v>'ALL JOBS'!F21</v>
      </c>
      <c r="Q13" s="15" t="str">
        <f t="shared" ca="1" si="7"/>
        <v>'ALL JOBS'!G21</v>
      </c>
      <c r="R13" s="15" t="str">
        <f t="shared" ca="1" si="8"/>
        <v>'ALL JOBS'!D21</v>
      </c>
      <c r="S13" s="13" t="str">
        <f t="shared" ca="1" si="24"/>
        <v>Y</v>
      </c>
      <c r="T13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13" s="15">
        <f t="shared" si="25"/>
        <v>13</v>
      </c>
      <c r="V13" s="15">
        <f t="shared" ca="1" si="26"/>
        <v>2</v>
      </c>
      <c r="W13" s="15" t="str">
        <f t="shared" ca="1" si="27"/>
        <v>T3:U72</v>
      </c>
      <c r="X13" s="15" t="str">
        <f t="shared" ca="1" si="15"/>
        <v>'ALL JOBS'!A8</v>
      </c>
      <c r="Y13" s="15" t="str">
        <f t="shared" ca="1" si="9"/>
        <v>'ALL JOBS'!B8</v>
      </c>
      <c r="Z13" s="15" t="str">
        <f t="shared" ca="1" si="10"/>
        <v>'ALL JOBS'!D8</v>
      </c>
      <c r="AA13" s="15" t="str">
        <f t="shared" ca="1" si="11"/>
        <v>'ALL JOBS'!E8</v>
      </c>
      <c r="AB13" s="15" t="str">
        <f t="shared" ca="1" si="16"/>
        <v>'ALL JOBS'!F8</v>
      </c>
      <c r="AC13" s="15" t="str">
        <f t="shared" ca="1" si="12"/>
        <v>'ALL JOBS'!G8</v>
      </c>
      <c r="AD13" s="15" t="str">
        <f t="shared" ca="1" si="13"/>
        <v>'ALL JOBS'!D21</v>
      </c>
      <c r="AF13" s="15">
        <f t="shared" ca="1" si="28"/>
        <v>10</v>
      </c>
      <c r="AG13" s="15" t="str">
        <f t="shared" si="29"/>
        <v>'ALL JOBS'!D19</v>
      </c>
      <c r="AH13" s="15" t="str">
        <f t="shared" si="30"/>
        <v>'ALL JOBS'!F19</v>
      </c>
      <c r="AJ13" s="15" t="b">
        <f ca="1">(OR(INDIRECT(L13)=MAX('ALL JOBS'!A:A),AJ12))</f>
        <v>0</v>
      </c>
    </row>
    <row r="14" spans="1:40" ht="30" customHeight="1">
      <c r="A14" s="15">
        <f t="shared" ca="1" si="0"/>
        <v>12</v>
      </c>
      <c r="B14" s="12" t="str">
        <f t="shared" ca="1" si="1"/>
        <v>Re-stock first aid kit as needed</v>
      </c>
      <c r="C14" s="13">
        <f t="shared" ca="1" si="17"/>
        <v>0</v>
      </c>
      <c r="D14" s="13" t="str">
        <f t="shared" ca="1" si="18"/>
        <v>Start of Season</v>
      </c>
      <c r="E14" s="13" t="str">
        <f t="shared" ca="1" si="19"/>
        <v>HA</v>
      </c>
      <c r="F14" s="14">
        <f t="shared" ca="1" si="20"/>
        <v>15</v>
      </c>
      <c r="G14" s="15" t="str">
        <f ca="1">IF($C$1="ALL",IF(INDIRECT(AH14)="","",IF(INDIRECT(AG14)&gt;MAX(Budget!$B$2,Budget!$E$2),"","Y")),IF(ISERR(FIND($C$1,INDIRECT(AH14))),"",IF(INDIRECT(AG14)&gt;MAX(Budget!$B$2,Budget!$E$2),"","Y")))</f>
        <v>Y</v>
      </c>
      <c r="H14" s="15">
        <f t="shared" si="21"/>
        <v>14</v>
      </c>
      <c r="I14" s="15">
        <f t="shared" ca="1" si="22"/>
        <v>16</v>
      </c>
      <c r="J14" s="15">
        <f t="shared" ca="1" si="23"/>
        <v>16</v>
      </c>
      <c r="K14" s="15" t="str">
        <f ca="1">CONCATENATE("G",J13+1,":I",'ALL JOBS'!$K$10)</f>
        <v>G16:I71</v>
      </c>
      <c r="L14" s="15" t="str">
        <f t="shared" ca="1" si="14"/>
        <v>'ALL JOBS'!A22</v>
      </c>
      <c r="M14" s="15" t="str">
        <f t="shared" ca="1" si="3"/>
        <v>'ALL JOBS'!B22</v>
      </c>
      <c r="N14" s="15" t="str">
        <f t="shared" ca="1" si="4"/>
        <v>'ALL JOBS'!D22</v>
      </c>
      <c r="O14" s="15" t="str">
        <f t="shared" ca="1" si="5"/>
        <v>'ALL JOBS'!E22</v>
      </c>
      <c r="P14" s="15" t="str">
        <f t="shared" ca="1" si="6"/>
        <v>'ALL JOBS'!F22</v>
      </c>
      <c r="Q14" s="15" t="str">
        <f t="shared" ca="1" si="7"/>
        <v>'ALL JOBS'!G22</v>
      </c>
      <c r="R14" s="15" t="str">
        <f t="shared" ca="1" si="8"/>
        <v>'ALL JOBS'!D22</v>
      </c>
      <c r="S14" s="13" t="str">
        <f t="shared" ca="1" si="24"/>
        <v>Y</v>
      </c>
      <c r="T14" s="16" t="str">
        <f>IF($C$1="ALL",IF('ALL JOBS'!F19="","",IF('ALL JOBS'!D19&lt;=Budget!$B$2,"","Y")),IF(ISERR(FIND($C$1,'ALL JOBS'!F19)),IF($E$1="","",IF(ISERR(FIND($E$1,'ALL JOBS'!F19)),"",IF('ALL JOBS'!D19&lt;=Budget!$B$2,"","Y"))),IF('ALL JOBS'!D19&lt;=Budget!$B$2,"","Y")))</f>
        <v/>
      </c>
      <c r="U14" s="15">
        <f t="shared" si="25"/>
        <v>14</v>
      </c>
      <c r="V14" s="15">
        <f t="shared" ca="1" si="26"/>
        <v>2</v>
      </c>
      <c r="W14" s="15" t="str">
        <f t="shared" ca="1" si="27"/>
        <v>T3:U72</v>
      </c>
      <c r="X14" s="15" t="str">
        <f t="shared" ca="1" si="15"/>
        <v>'ALL JOBS'!A8</v>
      </c>
      <c r="Y14" s="15" t="str">
        <f t="shared" ca="1" si="9"/>
        <v>'ALL JOBS'!B8</v>
      </c>
      <c r="Z14" s="15" t="str">
        <f t="shared" ca="1" si="10"/>
        <v>'ALL JOBS'!D8</v>
      </c>
      <c r="AA14" s="15" t="str">
        <f t="shared" ca="1" si="11"/>
        <v>'ALL JOBS'!E8</v>
      </c>
      <c r="AB14" s="15" t="str">
        <f t="shared" ca="1" si="16"/>
        <v>'ALL JOBS'!F8</v>
      </c>
      <c r="AC14" s="15" t="str">
        <f t="shared" ca="1" si="12"/>
        <v>'ALL JOBS'!G8</v>
      </c>
      <c r="AD14" s="15" t="str">
        <f t="shared" ca="1" si="13"/>
        <v>'ALL JOBS'!D22</v>
      </c>
      <c r="AF14" s="15">
        <f t="shared" ca="1" si="28"/>
        <v>11</v>
      </c>
      <c r="AG14" s="15" t="str">
        <f t="shared" si="29"/>
        <v>'ALL JOBS'!D20</v>
      </c>
      <c r="AH14" s="15" t="str">
        <f t="shared" si="30"/>
        <v>'ALL JOBS'!F20</v>
      </c>
      <c r="AJ14" s="15" t="b">
        <f ca="1">(OR(INDIRECT(L14)=MAX('ALL JOBS'!A:A),AJ13))</f>
        <v>0</v>
      </c>
    </row>
    <row r="15" spans="1:40" ht="30" customHeight="1">
      <c r="A15" s="15">
        <f t="shared" ca="1" si="0"/>
        <v>13</v>
      </c>
      <c r="B15" s="12" t="str">
        <f t="shared" ca="1" si="1"/>
        <v>Clean boat for start of season</v>
      </c>
      <c r="C15" s="13">
        <f t="shared" ca="1" si="17"/>
        <v>0</v>
      </c>
      <c r="D15" s="13" t="str">
        <f t="shared" ca="1" si="18"/>
        <v>Start of Season</v>
      </c>
      <c r="E15" s="13" t="str">
        <f t="shared" ca="1" si="19"/>
        <v>JF/PB/SB</v>
      </c>
      <c r="F15" s="14">
        <f t="shared" ca="1" si="20"/>
        <v>20</v>
      </c>
      <c r="G15" s="15" t="str">
        <f ca="1">IF($C$1="ALL",IF(INDIRECT(AH15)="","",IF(INDIRECT(AG15)&gt;MAX(Budget!$B$2,Budget!$E$2),"","Y")),IF(ISERR(FIND($C$1,INDIRECT(AH15))),"",IF(INDIRECT(AG15)&gt;MAX(Budget!$B$2,Budget!$E$2),"","Y")))</f>
        <v>Y</v>
      </c>
      <c r="H15" s="15">
        <f t="shared" si="21"/>
        <v>15</v>
      </c>
      <c r="I15" s="15">
        <f t="shared" ca="1" si="22"/>
        <v>17</v>
      </c>
      <c r="J15" s="15">
        <f t="shared" ca="1" si="23"/>
        <v>17</v>
      </c>
      <c r="K15" s="15" t="str">
        <f ca="1">CONCATENATE("G",J14+1,":I",'ALL JOBS'!$K$10)</f>
        <v>G17:I71</v>
      </c>
      <c r="L15" s="15" t="str">
        <f t="shared" ca="1" si="14"/>
        <v>'ALL JOBS'!A23</v>
      </c>
      <c r="M15" s="15" t="str">
        <f t="shared" ca="1" si="3"/>
        <v>'ALL JOBS'!B23</v>
      </c>
      <c r="N15" s="15" t="str">
        <f t="shared" ca="1" si="4"/>
        <v>'ALL JOBS'!D23</v>
      </c>
      <c r="O15" s="15" t="str">
        <f t="shared" ca="1" si="5"/>
        <v>'ALL JOBS'!E23</v>
      </c>
      <c r="P15" s="15" t="str">
        <f t="shared" ca="1" si="6"/>
        <v>'ALL JOBS'!F23</v>
      </c>
      <c r="Q15" s="15" t="str">
        <f t="shared" ca="1" si="7"/>
        <v>'ALL JOBS'!G23</v>
      </c>
      <c r="R15" s="15" t="str">
        <f t="shared" ca="1" si="8"/>
        <v>'ALL JOBS'!D23</v>
      </c>
      <c r="S15" s="13" t="str">
        <f t="shared" ca="1" si="24"/>
        <v>Y</v>
      </c>
      <c r="T15" s="16" t="str">
        <f>IF($C$1="ALL",IF('ALL JOBS'!F20="","",IF('ALL JOBS'!D20&lt;=Budget!$B$2,"","Y")),IF(ISERR(FIND($C$1,'ALL JOBS'!F20)),IF($E$1="","",IF(ISERR(FIND($E$1,'ALL JOBS'!F20)),"",IF('ALL JOBS'!D20&lt;=Budget!$B$2,"","Y"))),IF('ALL JOBS'!D20&lt;=Budget!$B$2,"","Y")))</f>
        <v/>
      </c>
      <c r="U15" s="15">
        <f t="shared" si="25"/>
        <v>15</v>
      </c>
      <c r="V15" s="15">
        <f t="shared" ca="1" si="26"/>
        <v>2</v>
      </c>
      <c r="W15" s="15" t="str">
        <f t="shared" ca="1" si="27"/>
        <v>T3:U72</v>
      </c>
      <c r="X15" s="15" t="str">
        <f t="shared" ca="1" si="15"/>
        <v>'ALL JOBS'!A8</v>
      </c>
      <c r="Y15" s="15" t="str">
        <f t="shared" ca="1" si="9"/>
        <v>'ALL JOBS'!B8</v>
      </c>
      <c r="Z15" s="15" t="str">
        <f t="shared" ca="1" si="10"/>
        <v>'ALL JOBS'!D8</v>
      </c>
      <c r="AA15" s="15" t="str">
        <f t="shared" ca="1" si="11"/>
        <v>'ALL JOBS'!E8</v>
      </c>
      <c r="AB15" s="15" t="str">
        <f t="shared" ca="1" si="16"/>
        <v>'ALL JOBS'!F8</v>
      </c>
      <c r="AC15" s="15" t="str">
        <f t="shared" ca="1" si="12"/>
        <v>'ALL JOBS'!G8</v>
      </c>
      <c r="AD15" s="15" t="str">
        <f t="shared" ca="1" si="13"/>
        <v>'ALL JOBS'!D23</v>
      </c>
      <c r="AF15" s="15">
        <f t="shared" ca="1" si="28"/>
        <v>12</v>
      </c>
      <c r="AG15" s="15" t="str">
        <f t="shared" si="29"/>
        <v>'ALL JOBS'!D21</v>
      </c>
      <c r="AH15" s="15" t="str">
        <f t="shared" si="30"/>
        <v>'ALL JOBS'!F21</v>
      </c>
      <c r="AJ15" s="15" t="b">
        <f ca="1">(OR(INDIRECT(L15)=MAX('ALL JOBS'!A:A),AJ14))</f>
        <v>0</v>
      </c>
    </row>
    <row r="16" spans="1:40" ht="30" customHeight="1">
      <c r="A16" s="15">
        <f t="shared" ca="1" si="0"/>
        <v>14</v>
      </c>
      <c r="B16" s="12" t="str">
        <f t="shared" ca="1" si="1"/>
        <v>Remove all surplus materials and food etc</v>
      </c>
      <c r="C16" s="13">
        <f t="shared" ca="1" si="17"/>
        <v>0</v>
      </c>
      <c r="D16" s="13" t="str">
        <f t="shared" ca="1" si="18"/>
        <v>Start of Season</v>
      </c>
      <c r="E16" s="13" t="str">
        <f t="shared" ca="1" si="19"/>
        <v>JF/PB/SB</v>
      </c>
      <c r="F16" s="14">
        <f t="shared" ca="1" si="20"/>
        <v>0</v>
      </c>
      <c r="G16" s="15" t="str">
        <f ca="1">IF($C$1="ALL",IF(INDIRECT(AH16)="","",IF(INDIRECT(AG16)&gt;MAX(Budget!$B$2,Budget!$E$2),"","Y")),IF(ISERR(FIND($C$1,INDIRECT(AH16))),"",IF(INDIRECT(AG16)&gt;MAX(Budget!$B$2,Budget!$E$2),"","Y")))</f>
        <v>Y</v>
      </c>
      <c r="H16" s="15">
        <f t="shared" si="21"/>
        <v>16</v>
      </c>
      <c r="I16" s="15">
        <f t="shared" ca="1" si="22"/>
        <v>18</v>
      </c>
      <c r="J16" s="15">
        <f t="shared" ca="1" si="23"/>
        <v>18</v>
      </c>
      <c r="K16" s="15" t="str">
        <f ca="1">CONCATENATE("G",J15+1,":I",'ALL JOBS'!$K$10)</f>
        <v>G18:I71</v>
      </c>
      <c r="L16" s="15" t="str">
        <f t="shared" ca="1" si="14"/>
        <v>'ALL JOBS'!A24</v>
      </c>
      <c r="M16" s="15" t="str">
        <f t="shared" ca="1" si="3"/>
        <v>'ALL JOBS'!B24</v>
      </c>
      <c r="N16" s="15" t="str">
        <f t="shared" ca="1" si="4"/>
        <v>'ALL JOBS'!D24</v>
      </c>
      <c r="O16" s="15" t="str">
        <f t="shared" ca="1" si="5"/>
        <v>'ALL JOBS'!E24</v>
      </c>
      <c r="P16" s="15" t="str">
        <f t="shared" ca="1" si="6"/>
        <v>'ALL JOBS'!F24</v>
      </c>
      <c r="Q16" s="15" t="str">
        <f t="shared" ca="1" si="7"/>
        <v>'ALL JOBS'!G24</v>
      </c>
      <c r="R16" s="15" t="str">
        <f t="shared" ca="1" si="8"/>
        <v>'ALL JOBS'!D24</v>
      </c>
      <c r="S16" s="13" t="str">
        <f t="shared" ca="1" si="24"/>
        <v>Y</v>
      </c>
      <c r="T16" s="16" t="str">
        <f>IF($C$1="ALL",IF('ALL JOBS'!F21="","",IF('ALL JOBS'!D21&lt;=Budget!$B$2,"","Y")),IF(ISERR(FIND($C$1,'ALL JOBS'!F21)),IF($E$1="","",IF(ISERR(FIND($E$1,'ALL JOBS'!F21)),"",IF('ALL JOBS'!D21&lt;=Budget!$B$2,"","Y"))),IF('ALL JOBS'!D21&lt;=Budget!$B$2,"","Y")))</f>
        <v/>
      </c>
      <c r="U16" s="15">
        <f t="shared" si="25"/>
        <v>16</v>
      </c>
      <c r="V16" s="15">
        <f t="shared" ca="1" si="26"/>
        <v>2</v>
      </c>
      <c r="W16" s="15" t="str">
        <f t="shared" ca="1" si="27"/>
        <v>T3:U72</v>
      </c>
      <c r="X16" s="15" t="str">
        <f t="shared" ca="1" si="15"/>
        <v>'ALL JOBS'!A8</v>
      </c>
      <c r="Y16" s="15" t="str">
        <f t="shared" ca="1" si="9"/>
        <v>'ALL JOBS'!B8</v>
      </c>
      <c r="Z16" s="15" t="str">
        <f t="shared" ca="1" si="10"/>
        <v>'ALL JOBS'!D8</v>
      </c>
      <c r="AA16" s="15" t="str">
        <f t="shared" ca="1" si="11"/>
        <v>'ALL JOBS'!E8</v>
      </c>
      <c r="AB16" s="15" t="str">
        <f t="shared" ca="1" si="16"/>
        <v>'ALL JOBS'!F8</v>
      </c>
      <c r="AC16" s="15" t="str">
        <f t="shared" ca="1" si="12"/>
        <v>'ALL JOBS'!G8</v>
      </c>
      <c r="AD16" s="15" t="str">
        <f t="shared" ca="1" si="13"/>
        <v>'ALL JOBS'!D24</v>
      </c>
      <c r="AF16" s="15">
        <f t="shared" ca="1" si="28"/>
        <v>13</v>
      </c>
      <c r="AG16" s="15" t="str">
        <f t="shared" si="29"/>
        <v>'ALL JOBS'!D22</v>
      </c>
      <c r="AH16" s="15" t="str">
        <f t="shared" si="30"/>
        <v>'ALL JOBS'!F22</v>
      </c>
      <c r="AJ16" s="15" t="b">
        <f ca="1">(OR(INDIRECT(L16)=MAX('ALL JOBS'!A:A),AJ15))</f>
        <v>0</v>
      </c>
    </row>
    <row r="17" spans="1:36" ht="30" customHeight="1">
      <c r="A17" s="15">
        <f t="shared" ca="1" si="0"/>
        <v>15</v>
      </c>
      <c r="B17" s="12" t="str">
        <f t="shared" ca="1" si="1"/>
        <v xml:space="preserve">Restock engine oil if needed (charge to "Engine Oil") </v>
      </c>
      <c r="C17" s="13">
        <f t="shared" ca="1" si="17"/>
        <v>0</v>
      </c>
      <c r="D17" s="13" t="str">
        <f t="shared" ca="1" si="18"/>
        <v>Start of Season</v>
      </c>
      <c r="E17" s="13" t="str">
        <f t="shared" ca="1" si="19"/>
        <v>JF</v>
      </c>
      <c r="F17" s="14">
        <f t="shared" ca="1" si="20"/>
        <v>0</v>
      </c>
      <c r="G17" s="15" t="str">
        <f ca="1">IF($C$1="ALL",IF(INDIRECT(AH17)="","",IF(INDIRECT(AG17)&gt;MAX(Budget!$B$2,Budget!$E$2),"","Y")),IF(ISERR(FIND($C$1,INDIRECT(AH17))),"",IF(INDIRECT(AG17)&gt;MAX(Budget!$B$2,Budget!$E$2),"","Y")))</f>
        <v>Y</v>
      </c>
      <c r="H17" s="15">
        <f t="shared" si="21"/>
        <v>17</v>
      </c>
      <c r="I17" s="15">
        <f t="shared" ca="1" si="22"/>
        <v>19</v>
      </c>
      <c r="J17" s="15">
        <f t="shared" ca="1" si="23"/>
        <v>19</v>
      </c>
      <c r="K17" s="15" t="str">
        <f ca="1">CONCATENATE("G",J16+1,":I",'ALL JOBS'!$K$10)</f>
        <v>G19:I71</v>
      </c>
      <c r="L17" s="15" t="str">
        <f t="shared" ca="1" si="14"/>
        <v>'ALL JOBS'!A25</v>
      </c>
      <c r="M17" s="15" t="str">
        <f t="shared" ca="1" si="3"/>
        <v>'ALL JOBS'!B25</v>
      </c>
      <c r="N17" s="15" t="str">
        <f t="shared" ca="1" si="4"/>
        <v>'ALL JOBS'!D25</v>
      </c>
      <c r="O17" s="15" t="str">
        <f t="shared" ca="1" si="5"/>
        <v>'ALL JOBS'!E25</v>
      </c>
      <c r="P17" s="15" t="str">
        <f t="shared" ca="1" si="6"/>
        <v>'ALL JOBS'!F25</v>
      </c>
      <c r="Q17" s="15" t="str">
        <f t="shared" ca="1" si="7"/>
        <v>'ALL JOBS'!G25</v>
      </c>
      <c r="R17" s="15" t="str">
        <f t="shared" ca="1" si="8"/>
        <v>'ALL JOBS'!D25</v>
      </c>
      <c r="S17" s="13" t="str">
        <f t="shared" ca="1" si="24"/>
        <v>Y</v>
      </c>
      <c r="T17" s="16" t="str">
        <f>IF($C$1="ALL",IF('ALL JOBS'!F22="","",IF('ALL JOBS'!D22&lt;=Budget!$B$2,"","Y")),IF(ISERR(FIND($C$1,'ALL JOBS'!F22)),IF($E$1="","",IF(ISERR(FIND($E$1,'ALL JOBS'!F22)),"",IF('ALL JOBS'!D22&lt;=Budget!$B$2,"","Y"))),IF('ALL JOBS'!D22&lt;=Budget!$B$2,"","Y")))</f>
        <v/>
      </c>
      <c r="U17" s="15">
        <f t="shared" si="25"/>
        <v>17</v>
      </c>
      <c r="V17" s="15">
        <f t="shared" ca="1" si="26"/>
        <v>2</v>
      </c>
      <c r="W17" s="15" t="str">
        <f t="shared" ca="1" si="27"/>
        <v>T3:U72</v>
      </c>
      <c r="X17" s="15" t="str">
        <f t="shared" ca="1" si="15"/>
        <v>'ALL JOBS'!A8</v>
      </c>
      <c r="Y17" s="15" t="str">
        <f t="shared" ca="1" si="9"/>
        <v>'ALL JOBS'!B8</v>
      </c>
      <c r="Z17" s="15" t="str">
        <f t="shared" ca="1" si="10"/>
        <v>'ALL JOBS'!D8</v>
      </c>
      <c r="AA17" s="15" t="str">
        <f t="shared" ca="1" si="11"/>
        <v>'ALL JOBS'!E8</v>
      </c>
      <c r="AB17" s="15" t="str">
        <f t="shared" ca="1" si="16"/>
        <v>'ALL JOBS'!F8</v>
      </c>
      <c r="AC17" s="15" t="str">
        <f t="shared" ca="1" si="12"/>
        <v>'ALL JOBS'!G8</v>
      </c>
      <c r="AD17" s="15" t="str">
        <f t="shared" ca="1" si="13"/>
        <v>'ALL JOBS'!D25</v>
      </c>
      <c r="AF17" s="15">
        <f t="shared" ca="1" si="28"/>
        <v>14</v>
      </c>
      <c r="AG17" s="15" t="str">
        <f t="shared" si="29"/>
        <v>'ALL JOBS'!D23</v>
      </c>
      <c r="AH17" s="15" t="str">
        <f t="shared" si="30"/>
        <v>'ALL JOBS'!F23</v>
      </c>
      <c r="AJ17" s="15" t="b">
        <f ca="1">(OR(INDIRECT(L17)=MAX('ALL JOBS'!A:A),AJ16))</f>
        <v>0</v>
      </c>
    </row>
    <row r="18" spans="1:36" ht="30" customHeight="1">
      <c r="A18" s="15">
        <f t="shared" ca="1" si="0"/>
        <v>16</v>
      </c>
      <c r="B18" s="12" t="str">
        <f ca="1">IF(AND($AE19="Y",$AE18=""),"THE FOLLOWING JOBS ARE NOT TO BE DONE THIS YEAR",IF($AE18="Y",INDIRECT(Y18),IF($S18="Y",INDIRECT(M18),"")))</f>
        <v xml:space="preserve">Check mounts, transmission and alternator belt </v>
      </c>
      <c r="C18" s="13">
        <f t="shared" ca="1" si="17"/>
        <v>0</v>
      </c>
      <c r="D18" s="13" t="str">
        <f t="shared" ca="1" si="18"/>
        <v>Start of Season</v>
      </c>
      <c r="E18" s="13" t="str">
        <f t="shared" ca="1" si="19"/>
        <v>PB /JF</v>
      </c>
      <c r="F18" s="14">
        <f t="shared" ca="1" si="20"/>
        <v>0</v>
      </c>
      <c r="G18" s="15" t="str">
        <f ca="1">IF($C$1="ALL",IF(INDIRECT(AH18)="","",IF(INDIRECT(AG18)&gt;MAX(Budget!$B$2,Budget!$E$2),"","Y")),IF(ISERR(FIND($C$1,INDIRECT(AH18))),"",IF(INDIRECT(AG18)&gt;MAX(Budget!$B$2,Budget!$E$2),"","Y")))</f>
        <v>Y</v>
      </c>
      <c r="H18" s="15">
        <f t="shared" si="21"/>
        <v>18</v>
      </c>
      <c r="I18" s="15">
        <f t="shared" ca="1" si="22"/>
        <v>20</v>
      </c>
      <c r="J18" s="15">
        <f t="shared" ca="1" si="23"/>
        <v>20</v>
      </c>
      <c r="K18" s="15" t="str">
        <f ca="1">CONCATENATE("G",J17+1,":I",'ALL JOBS'!$K$10)</f>
        <v>G20:I71</v>
      </c>
      <c r="L18" s="15" t="str">
        <f t="shared" ca="1" si="14"/>
        <v>'ALL JOBS'!A26</v>
      </c>
      <c r="M18" s="15" t="str">
        <f t="shared" ca="1" si="3"/>
        <v>'ALL JOBS'!B26</v>
      </c>
      <c r="N18" s="15" t="str">
        <f t="shared" ca="1" si="4"/>
        <v>'ALL JOBS'!D26</v>
      </c>
      <c r="O18" s="15" t="str">
        <f t="shared" ca="1" si="5"/>
        <v>'ALL JOBS'!E26</v>
      </c>
      <c r="P18" s="15" t="str">
        <f t="shared" ca="1" si="6"/>
        <v>'ALL JOBS'!F26</v>
      </c>
      <c r="Q18" s="15" t="str">
        <f t="shared" ca="1" si="7"/>
        <v>'ALL JOBS'!G26</v>
      </c>
      <c r="R18" s="15" t="str">
        <f t="shared" ca="1" si="8"/>
        <v>'ALL JOBS'!D26</v>
      </c>
      <c r="S18" s="13" t="str">
        <f t="shared" ca="1" si="24"/>
        <v>Y</v>
      </c>
      <c r="T18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18" s="15">
        <f t="shared" si="25"/>
        <v>18</v>
      </c>
      <c r="V18" s="15">
        <f t="shared" ca="1" si="26"/>
        <v>2</v>
      </c>
      <c r="W18" s="15" t="str">
        <f t="shared" ca="1" si="27"/>
        <v>T3:U72</v>
      </c>
      <c r="X18" s="15" t="str">
        <f t="shared" ca="1" si="15"/>
        <v>'ALL JOBS'!A8</v>
      </c>
      <c r="Y18" s="15" t="str">
        <f t="shared" ca="1" si="9"/>
        <v>'ALL JOBS'!B8</v>
      </c>
      <c r="Z18" s="15" t="str">
        <f t="shared" ca="1" si="10"/>
        <v>'ALL JOBS'!D8</v>
      </c>
      <c r="AA18" s="15" t="str">
        <f t="shared" ca="1" si="11"/>
        <v>'ALL JOBS'!E8</v>
      </c>
      <c r="AB18" s="15" t="str">
        <f t="shared" ca="1" si="16"/>
        <v>'ALL JOBS'!F8</v>
      </c>
      <c r="AC18" s="15" t="str">
        <f t="shared" ca="1" si="12"/>
        <v>'ALL JOBS'!G8</v>
      </c>
      <c r="AD18" s="15" t="str">
        <f t="shared" ca="1" si="13"/>
        <v>'ALL JOBS'!D26</v>
      </c>
      <c r="AF18" s="15">
        <f t="shared" ca="1" si="28"/>
        <v>15</v>
      </c>
      <c r="AG18" s="15" t="str">
        <f t="shared" si="29"/>
        <v>'ALL JOBS'!D24</v>
      </c>
      <c r="AH18" s="15" t="str">
        <f t="shared" si="30"/>
        <v>'ALL JOBS'!F24</v>
      </c>
      <c r="AJ18" s="15" t="b">
        <f ca="1">(OR(INDIRECT(L18)=MAX('ALL JOBS'!A:A),AJ17))</f>
        <v>0</v>
      </c>
    </row>
    <row r="19" spans="1:36" ht="30" customHeight="1">
      <c r="A19" s="15">
        <f t="shared" ca="1" si="0"/>
        <v>18</v>
      </c>
      <c r="B19" s="12" t="str">
        <f t="shared" ca="1" si="1"/>
        <v>Check/fix bilge pumps and auto switches operational including checking for blocked outlet. Check &amp; make bilge pump leads and connectors more secure</v>
      </c>
      <c r="C19" s="13">
        <f t="shared" ca="1" si="17"/>
        <v>0</v>
      </c>
      <c r="D19" s="13" t="str">
        <f t="shared" ca="1" si="18"/>
        <v>Start of Season</v>
      </c>
      <c r="E19" s="13" t="str">
        <f t="shared" ca="1" si="19"/>
        <v>PB /JF</v>
      </c>
      <c r="F19" s="14">
        <f t="shared" ca="1" si="20"/>
        <v>0</v>
      </c>
      <c r="G19" s="15" t="str">
        <f ca="1">IF($C$1="ALL",IF(INDIRECT(AH19)="","",IF(INDIRECT(AG19)&gt;MAX(Budget!$B$2,Budget!$E$2),"","Y")),IF(ISERR(FIND($C$1,INDIRECT(AH19))),"",IF(INDIRECT(AG19)&gt;MAX(Budget!$B$2,Budget!$E$2),"","Y")))</f>
        <v>Y</v>
      </c>
      <c r="H19" s="15">
        <f t="shared" si="21"/>
        <v>19</v>
      </c>
      <c r="I19" s="15">
        <f t="shared" ca="1" si="22"/>
        <v>22</v>
      </c>
      <c r="J19" s="15">
        <f t="shared" ca="1" si="23"/>
        <v>22</v>
      </c>
      <c r="K19" s="15" t="str">
        <f ca="1">CONCATENATE("G",J18+1,":I",'ALL JOBS'!$K$10)</f>
        <v>G21:I71</v>
      </c>
      <c r="L19" s="15" t="str">
        <f t="shared" ca="1" si="14"/>
        <v>'ALL JOBS'!A28</v>
      </c>
      <c r="M19" s="15" t="str">
        <f t="shared" ca="1" si="3"/>
        <v>'ALL JOBS'!B28</v>
      </c>
      <c r="N19" s="15" t="str">
        <f t="shared" ca="1" si="4"/>
        <v>'ALL JOBS'!D28</v>
      </c>
      <c r="O19" s="15" t="str">
        <f t="shared" ca="1" si="5"/>
        <v>'ALL JOBS'!E28</v>
      </c>
      <c r="P19" s="15" t="str">
        <f t="shared" ca="1" si="6"/>
        <v>'ALL JOBS'!F28</v>
      </c>
      <c r="Q19" s="15" t="str">
        <f t="shared" ca="1" si="7"/>
        <v>'ALL JOBS'!G28</v>
      </c>
      <c r="R19" s="15" t="str">
        <f t="shared" ca="1" si="8"/>
        <v>'ALL JOBS'!D28</v>
      </c>
      <c r="S19" s="13" t="str">
        <f t="shared" ca="1" si="24"/>
        <v>Y</v>
      </c>
      <c r="T19" s="16" t="str">
        <f>IF($C$1="ALL",IF('ALL JOBS'!F23="","",IF('ALL JOBS'!D23&lt;=Budget!$B$2,"","Y")),IF(ISERR(FIND($C$1,'ALL JOBS'!F23)),IF($E$1="","",IF(ISERR(FIND($E$1,'ALL JOBS'!F23)),"",IF('ALL JOBS'!D23&lt;=Budget!$B$2,"","Y"))),IF('ALL JOBS'!D23&lt;=Budget!$B$2,"","Y")))</f>
        <v/>
      </c>
      <c r="U19" s="15">
        <f t="shared" si="25"/>
        <v>19</v>
      </c>
      <c r="V19" s="15">
        <f t="shared" ca="1" si="26"/>
        <v>2</v>
      </c>
      <c r="W19" s="15" t="str">
        <f t="shared" ca="1" si="27"/>
        <v>T3:U72</v>
      </c>
      <c r="X19" s="15" t="str">
        <f t="shared" ca="1" si="15"/>
        <v>'ALL JOBS'!A8</v>
      </c>
      <c r="Y19" s="15" t="str">
        <f t="shared" ca="1" si="9"/>
        <v>'ALL JOBS'!B8</v>
      </c>
      <c r="Z19" s="15" t="str">
        <f t="shared" ca="1" si="10"/>
        <v>'ALL JOBS'!D8</v>
      </c>
      <c r="AA19" s="15" t="str">
        <f t="shared" ca="1" si="11"/>
        <v>'ALL JOBS'!E8</v>
      </c>
      <c r="AB19" s="15" t="str">
        <f t="shared" ca="1" si="16"/>
        <v>'ALL JOBS'!F8</v>
      </c>
      <c r="AC19" s="15" t="str">
        <f t="shared" ca="1" si="12"/>
        <v>'ALL JOBS'!G8</v>
      </c>
      <c r="AD19" s="15" t="str">
        <f t="shared" ca="1" si="13"/>
        <v>'ALL JOBS'!D28</v>
      </c>
      <c r="AF19" s="15">
        <f t="shared" ca="1" si="28"/>
        <v>16</v>
      </c>
      <c r="AG19" s="15" t="str">
        <f t="shared" si="29"/>
        <v>'ALL JOBS'!D25</v>
      </c>
      <c r="AH19" s="15" t="str">
        <f t="shared" si="30"/>
        <v>'ALL JOBS'!F25</v>
      </c>
      <c r="AJ19" s="15" t="b">
        <f ca="1">(OR(INDIRECT(L19)=MAX('ALL JOBS'!A:A),AJ18))</f>
        <v>0</v>
      </c>
    </row>
    <row r="20" spans="1:36" ht="30" customHeight="1">
      <c r="A20" s="15">
        <f t="shared" ref="A20:A77" ca="1" si="31">IF(AND($AE21="Y",$AE20=""),"",IF($AE20="Y",INDIRECT(X20),IF($S20="Y",INDIRECT(L20),"")))</f>
        <v>19</v>
      </c>
      <c r="B20" s="12" t="str">
        <f t="shared" ref="B20:B77" ca="1" si="32">IF(AND($AE21="Y",$AE20=""),"THE FOLLOWING JOBS ARE NOT TO BE DONE THIS YEAR",IF($AE20="Y",INDIRECT(Y20),IF($S20="Y",INDIRECT(M20),"")))</f>
        <v xml:space="preserve">Check stock diesel tonic and oil + fuel+ air filters </v>
      </c>
      <c r="C20" s="13">
        <f t="shared" ref="C20:C77" ca="1" si="33">IF(AND($AE21="Y",$AE20=""),"",IF($AE20="Y",INDIRECT(Z20),IF($S20="Y",INDIRECT(N20),"")))</f>
        <v>0</v>
      </c>
      <c r="D20" s="13" t="str">
        <f t="shared" ref="D20:D77" ca="1" si="34">IF(AND($AE21="Y",$AE20=""),"",IF($AE20="Y",INDIRECT(AA20),IF($S20="Y",INDIRECT(O20),"")))</f>
        <v>Start of Season</v>
      </c>
      <c r="E20" s="13" t="str">
        <f t="shared" ref="E20:E77" ca="1" si="35">IF(AND($AE21="Y",$AE20=""),"",IF($AE20="Y",INDIRECT(AB20),IF($S20="Y",INDIRECT(P20),"")))</f>
        <v>PB</v>
      </c>
      <c r="F20" s="14">
        <f t="shared" ref="F20:F77" ca="1" si="36">IF(AND($AE21="Y",$AE20=""),"",IF($AE20="Y",INDIRECT(AC20),IF($S20="Y",INDIRECT(Q20),"")))</f>
        <v>0</v>
      </c>
      <c r="G20" s="15" t="str">
        <f ca="1">IF($C$1="ALL",IF(INDIRECT(AH20)="","",IF(INDIRECT(AG20)&gt;MAX(Budget!$B$2,Budget!$E$2),"","Y")),IF(ISERR(FIND($C$1,INDIRECT(AH20))),"",IF(INDIRECT(AG20)&gt;MAX(Budget!$B$2,Budget!$E$2),"","Y")))</f>
        <v>Y</v>
      </c>
      <c r="H20" s="15">
        <f t="shared" ref="H20:H77" si="37">ROW(G20)</f>
        <v>20</v>
      </c>
      <c r="I20" s="15">
        <f t="shared" ref="I20:I77" ca="1" si="38">VLOOKUP("Y",INDIRECT(K20),2,FALSE)</f>
        <v>23</v>
      </c>
      <c r="J20" s="15">
        <f t="shared" ref="J20:J77" ca="1" si="39">VLOOKUP("Y",INDIRECT(K20),2,FALSE)</f>
        <v>23</v>
      </c>
      <c r="K20" s="15" t="str">
        <f ca="1">CONCATENATE("G",J19+1,":I",'ALL JOBS'!$K$10)</f>
        <v>G23:I71</v>
      </c>
      <c r="L20" s="15" t="str">
        <f t="shared" ca="1" si="14"/>
        <v>'ALL JOBS'!A29</v>
      </c>
      <c r="M20" s="15" t="str">
        <f t="shared" ca="1" si="3"/>
        <v>'ALL JOBS'!B29</v>
      </c>
      <c r="N20" s="15" t="str">
        <f t="shared" ca="1" si="4"/>
        <v>'ALL JOBS'!D29</v>
      </c>
      <c r="O20" s="15" t="str">
        <f t="shared" ca="1" si="5"/>
        <v>'ALL JOBS'!E29</v>
      </c>
      <c r="P20" s="15" t="str">
        <f t="shared" ca="1" si="6"/>
        <v>'ALL JOBS'!F29</v>
      </c>
      <c r="Q20" s="15" t="str">
        <f t="shared" ca="1" si="7"/>
        <v>'ALL JOBS'!G29</v>
      </c>
      <c r="R20" s="15" t="str">
        <f t="shared" ca="1" si="8"/>
        <v>'ALL JOBS'!D29</v>
      </c>
      <c r="S20" s="13" t="str">
        <f t="shared" ref="S20:S77" ca="1" si="40">IF(ISNA(I20),"","Y")</f>
        <v>Y</v>
      </c>
      <c r="T20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20" s="15">
        <f t="shared" ref="U20:U77" si="41">H20</f>
        <v>20</v>
      </c>
      <c r="V20" s="15">
        <f t="shared" ref="V20:V77" ca="1" si="42">IF(AND(ISNA(I20),ISNA(I19),ISNA(I17)),VLOOKUP("Y",INDIRECT(W20),2,FALSE),V19)</f>
        <v>2</v>
      </c>
      <c r="W20" s="15" t="str">
        <f t="shared" ref="W20:W77" ca="1" si="43">CONCATENATE("T",V19+1,":U72")</f>
        <v>T3:U72</v>
      </c>
      <c r="X20" s="15" t="str">
        <f t="shared" ca="1" si="15"/>
        <v>'ALL JOBS'!A8</v>
      </c>
      <c r="Y20" s="15" t="str">
        <f t="shared" ca="1" si="9"/>
        <v>'ALL JOBS'!B8</v>
      </c>
      <c r="Z20" s="15" t="str">
        <f t="shared" ca="1" si="10"/>
        <v>'ALL JOBS'!D8</v>
      </c>
      <c r="AA20" s="15" t="str">
        <f t="shared" ca="1" si="11"/>
        <v>'ALL JOBS'!E8</v>
      </c>
      <c r="AB20" s="15" t="str">
        <f t="shared" ca="1" si="16"/>
        <v>'ALL JOBS'!F8</v>
      </c>
      <c r="AC20" s="15" t="str">
        <f t="shared" ca="1" si="12"/>
        <v>'ALL JOBS'!G8</v>
      </c>
      <c r="AD20" s="15" t="str">
        <f t="shared" ca="1" si="13"/>
        <v>'ALL JOBS'!D29</v>
      </c>
      <c r="AF20" s="15">
        <f t="shared" ref="AF20:AF77" ca="1" si="44">IF(AND($AE21="Y",$AE20=""),"",IF($AE20="Y",0,IF($S20="Y",ROW(B20)-3,"")))</f>
        <v>17</v>
      </c>
      <c r="AG20" s="15" t="str">
        <f t="shared" ref="AG20:AG77" si="45">CONCATENATE("'ALL JOBS'!D",ROW(AF20)+6)</f>
        <v>'ALL JOBS'!D26</v>
      </c>
      <c r="AH20" s="15" t="str">
        <f t="shared" ref="AH20:AH77" si="46">CONCATENATE("'ALL JOBS'!F",ROW(AF20)+6)</f>
        <v>'ALL JOBS'!F26</v>
      </c>
      <c r="AJ20" s="15" t="b">
        <f ca="1">(OR(INDIRECT(L20)=MAX('ALL JOBS'!A:A),AJ19))</f>
        <v>0</v>
      </c>
    </row>
    <row r="21" spans="1:36" ht="30" customHeight="1">
      <c r="A21" s="15">
        <f t="shared" ca="1" si="31"/>
        <v>21</v>
      </c>
      <c r="B21" s="12" t="str">
        <f t="shared" ca="1" si="32"/>
        <v>Laundry: clean blankets &amp; curtains as needed</v>
      </c>
      <c r="C21" s="13">
        <f t="shared" ca="1" si="33"/>
        <v>0</v>
      </c>
      <c r="D21" s="13" t="str">
        <f t="shared" ca="1" si="34"/>
        <v>Start of Season</v>
      </c>
      <c r="E21" s="13" t="str">
        <f t="shared" ca="1" si="35"/>
        <v>SB</v>
      </c>
      <c r="F21" s="14">
        <f t="shared" ca="1" si="36"/>
        <v>0</v>
      </c>
      <c r="G21" s="15" t="str">
        <f ca="1">IF($C$1="ALL",IF(INDIRECT(AH21)="","",IF(INDIRECT(AG21)&gt;MAX(Budget!$B$2,Budget!$E$2),"","Y")),IF(ISERR(FIND($C$1,INDIRECT(AH21))),"",IF(INDIRECT(AG21)&gt;MAX(Budget!$B$2,Budget!$E$2),"","Y")))</f>
        <v/>
      </c>
      <c r="H21" s="15">
        <f t="shared" si="37"/>
        <v>21</v>
      </c>
      <c r="I21" s="15">
        <f t="shared" ca="1" si="38"/>
        <v>25</v>
      </c>
      <c r="J21" s="15">
        <f t="shared" ca="1" si="39"/>
        <v>25</v>
      </c>
      <c r="K21" s="15" t="str">
        <f ca="1">CONCATENATE("G",J20+1,":I",'ALL JOBS'!$K$10)</f>
        <v>G24:I71</v>
      </c>
      <c r="L21" s="15" t="str">
        <f t="shared" ca="1" si="14"/>
        <v>'ALL JOBS'!A31</v>
      </c>
      <c r="M21" s="15" t="str">
        <f t="shared" ca="1" si="3"/>
        <v>'ALL JOBS'!B31</v>
      </c>
      <c r="N21" s="15" t="str">
        <f t="shared" ca="1" si="4"/>
        <v>'ALL JOBS'!D31</v>
      </c>
      <c r="O21" s="15" t="str">
        <f t="shared" ca="1" si="5"/>
        <v>'ALL JOBS'!E31</v>
      </c>
      <c r="P21" s="15" t="str">
        <f t="shared" ca="1" si="6"/>
        <v>'ALL JOBS'!F31</v>
      </c>
      <c r="Q21" s="15" t="str">
        <f t="shared" ca="1" si="7"/>
        <v>'ALL JOBS'!G31</v>
      </c>
      <c r="R21" s="15" t="str">
        <f t="shared" ca="1" si="8"/>
        <v>'ALL JOBS'!D31</v>
      </c>
      <c r="S21" s="13" t="str">
        <f t="shared" ca="1" si="40"/>
        <v>Y</v>
      </c>
      <c r="T21" s="16" t="str">
        <f>IF($C$1="ALL",IF('ALL JOBS'!F24="","",IF('ALL JOBS'!D24&lt;=Budget!$B$2,"","Y")),IF(ISERR(FIND($C$1,'ALL JOBS'!F24)),IF($E$1="","",IF(ISERR(FIND($E$1,'ALL JOBS'!F24)),"",IF('ALL JOBS'!D24&lt;=Budget!$B$2,"","Y"))),IF('ALL JOBS'!D24&lt;=Budget!$B$2,"","Y")))</f>
        <v/>
      </c>
      <c r="U21" s="15">
        <f t="shared" si="41"/>
        <v>21</v>
      </c>
      <c r="V21" s="15">
        <f t="shared" ca="1" si="42"/>
        <v>2</v>
      </c>
      <c r="W21" s="15" t="str">
        <f t="shared" ca="1" si="43"/>
        <v>T3:U72</v>
      </c>
      <c r="X21" s="15" t="str">
        <f t="shared" ca="1" si="15"/>
        <v>'ALL JOBS'!A8</v>
      </c>
      <c r="Y21" s="15" t="str">
        <f t="shared" ca="1" si="9"/>
        <v>'ALL JOBS'!B8</v>
      </c>
      <c r="Z21" s="15" t="str">
        <f t="shared" ca="1" si="10"/>
        <v>'ALL JOBS'!D8</v>
      </c>
      <c r="AA21" s="15" t="str">
        <f t="shared" ca="1" si="11"/>
        <v>'ALL JOBS'!E8</v>
      </c>
      <c r="AB21" s="15" t="str">
        <f t="shared" ca="1" si="16"/>
        <v>'ALL JOBS'!F8</v>
      </c>
      <c r="AC21" s="15" t="str">
        <f t="shared" ca="1" si="12"/>
        <v>'ALL JOBS'!G8</v>
      </c>
      <c r="AD21" s="15" t="str">
        <f t="shared" ca="1" si="13"/>
        <v>'ALL JOBS'!D31</v>
      </c>
      <c r="AF21" s="15">
        <f t="shared" ca="1" si="44"/>
        <v>18</v>
      </c>
      <c r="AG21" s="15" t="str">
        <f t="shared" si="45"/>
        <v>'ALL JOBS'!D27</v>
      </c>
      <c r="AH21" s="15" t="str">
        <f t="shared" si="46"/>
        <v>'ALL JOBS'!F27</v>
      </c>
      <c r="AJ21" s="15" t="b">
        <f ca="1">(OR(INDIRECT(L21)=MAX('ALL JOBS'!A:A),AJ20))</f>
        <v>0</v>
      </c>
    </row>
    <row r="22" spans="1:36" ht="30" customHeight="1">
      <c r="A22" s="15">
        <f t="shared" ca="1" si="31"/>
        <v>22</v>
      </c>
      <c r="B22" s="12" t="str">
        <f t="shared" ca="1" si="32"/>
        <v>Check front gas locker vents to outside are clear</v>
      </c>
      <c r="C22" s="13">
        <f t="shared" ca="1" si="33"/>
        <v>0</v>
      </c>
      <c r="D22" s="13" t="str">
        <f t="shared" ca="1" si="34"/>
        <v>Start of Season</v>
      </c>
      <c r="E22" s="13" t="str">
        <f t="shared" ca="1" si="35"/>
        <v>TM</v>
      </c>
      <c r="F22" s="14">
        <f t="shared" ca="1" si="36"/>
        <v>0</v>
      </c>
      <c r="G22" s="15" t="str">
        <f ca="1">IF($C$1="ALL",IF(INDIRECT(AH22)="","",IF(INDIRECT(AG22)&gt;MAX(Budget!$B$2,Budget!$E$2),"","Y")),IF(ISERR(FIND($C$1,INDIRECT(AH22))),"",IF(INDIRECT(AG22)&gt;MAX(Budget!$B$2,Budget!$E$2),"","Y")))</f>
        <v>Y</v>
      </c>
      <c r="H22" s="15">
        <f t="shared" si="37"/>
        <v>22</v>
      </c>
      <c r="I22" s="15">
        <f t="shared" ca="1" si="38"/>
        <v>26</v>
      </c>
      <c r="J22" s="15">
        <f t="shared" ca="1" si="39"/>
        <v>26</v>
      </c>
      <c r="K22" s="15" t="str">
        <f ca="1">CONCATENATE("G",J21+1,":I",'ALL JOBS'!$K$10)</f>
        <v>G26:I71</v>
      </c>
      <c r="L22" s="15" t="str">
        <f t="shared" ca="1" si="14"/>
        <v>'ALL JOBS'!A32</v>
      </c>
      <c r="M22" s="15" t="str">
        <f t="shared" ca="1" si="3"/>
        <v>'ALL JOBS'!B32</v>
      </c>
      <c r="N22" s="15" t="str">
        <f t="shared" ca="1" si="4"/>
        <v>'ALL JOBS'!D32</v>
      </c>
      <c r="O22" s="15" t="str">
        <f t="shared" ca="1" si="5"/>
        <v>'ALL JOBS'!E32</v>
      </c>
      <c r="P22" s="15" t="str">
        <f t="shared" ca="1" si="6"/>
        <v>'ALL JOBS'!F32</v>
      </c>
      <c r="Q22" s="15" t="str">
        <f t="shared" ca="1" si="7"/>
        <v>'ALL JOBS'!G32</v>
      </c>
      <c r="R22" s="15" t="str">
        <f t="shared" ca="1" si="8"/>
        <v>'ALL JOBS'!D32</v>
      </c>
      <c r="S22" s="13" t="str">
        <f t="shared" ca="1" si="40"/>
        <v>Y</v>
      </c>
      <c r="T22" s="16" t="str">
        <f>IF($C$1="ALL",IF('ALL JOBS'!F25="","",IF('ALL JOBS'!D25&lt;=Budget!$B$2,"","Y")),IF(ISERR(FIND($C$1,'ALL JOBS'!F25)),IF($E$1="","",IF(ISERR(FIND($E$1,'ALL JOBS'!F25)),"",IF('ALL JOBS'!D25&lt;=Budget!$B$2,"","Y"))),IF('ALL JOBS'!D25&lt;=Budget!$B$2,"","Y")))</f>
        <v/>
      </c>
      <c r="U22" s="15">
        <f t="shared" si="41"/>
        <v>22</v>
      </c>
      <c r="V22" s="15">
        <f t="shared" ca="1" si="42"/>
        <v>2</v>
      </c>
      <c r="W22" s="15" t="str">
        <f t="shared" ca="1" si="43"/>
        <v>T3:U72</v>
      </c>
      <c r="X22" s="15" t="str">
        <f t="shared" ca="1" si="15"/>
        <v>'ALL JOBS'!A8</v>
      </c>
      <c r="Y22" s="15" t="str">
        <f t="shared" ca="1" si="9"/>
        <v>'ALL JOBS'!B8</v>
      </c>
      <c r="Z22" s="15" t="str">
        <f t="shared" ca="1" si="10"/>
        <v>'ALL JOBS'!D8</v>
      </c>
      <c r="AA22" s="15" t="str">
        <f t="shared" ca="1" si="11"/>
        <v>'ALL JOBS'!E8</v>
      </c>
      <c r="AB22" s="15" t="str">
        <f t="shared" ca="1" si="16"/>
        <v>'ALL JOBS'!F8</v>
      </c>
      <c r="AC22" s="15" t="str">
        <f t="shared" ca="1" si="12"/>
        <v>'ALL JOBS'!G8</v>
      </c>
      <c r="AD22" s="15" t="str">
        <f t="shared" ca="1" si="13"/>
        <v>'ALL JOBS'!D32</v>
      </c>
      <c r="AF22" s="15">
        <f t="shared" ca="1" si="44"/>
        <v>19</v>
      </c>
      <c r="AG22" s="15" t="str">
        <f t="shared" si="45"/>
        <v>'ALL JOBS'!D28</v>
      </c>
      <c r="AH22" s="15" t="str">
        <f t="shared" si="46"/>
        <v>'ALL JOBS'!F28</v>
      </c>
      <c r="AJ22" s="15" t="b">
        <f ca="1">(OR(INDIRECT(L22)=MAX('ALL JOBS'!A:A),AJ21))</f>
        <v>0</v>
      </c>
    </row>
    <row r="23" spans="1:36" ht="30" customHeight="1">
      <c r="A23" s="15">
        <f t="shared" ca="1" si="31"/>
        <v>24</v>
      </c>
      <c r="B23" s="12" t="str">
        <f t="shared" ca="1" si="32"/>
        <v>Clean rubber mats on stern counter area  2026: Install notches in rubber matting to improve water run-off</v>
      </c>
      <c r="C23" s="13">
        <f t="shared" ca="1" si="33"/>
        <v>0</v>
      </c>
      <c r="D23" s="13" t="str">
        <f t="shared" ca="1" si="34"/>
        <v>Start of Season</v>
      </c>
      <c r="E23" s="13" t="str">
        <f t="shared" ca="1" si="35"/>
        <v>TM</v>
      </c>
      <c r="F23" s="14">
        <f t="shared" ca="1" si="36"/>
        <v>0</v>
      </c>
      <c r="G23" s="15" t="str">
        <f ca="1">IF($C$1="ALL",IF(INDIRECT(AH23)="","",IF(INDIRECT(AG23)&gt;MAX(Budget!$B$2,Budget!$E$2),"","Y")),IF(ISERR(FIND($C$1,INDIRECT(AH23))),"",IF(INDIRECT(AG23)&gt;MAX(Budget!$B$2,Budget!$E$2),"","Y")))</f>
        <v>Y</v>
      </c>
      <c r="H23" s="15">
        <f t="shared" si="37"/>
        <v>23</v>
      </c>
      <c r="I23" s="15">
        <f t="shared" ca="1" si="38"/>
        <v>28</v>
      </c>
      <c r="J23" s="15">
        <f t="shared" ca="1" si="39"/>
        <v>28</v>
      </c>
      <c r="K23" s="15" t="str">
        <f ca="1">CONCATENATE("G",J22+1,":I",'ALL JOBS'!$K$10)</f>
        <v>G27:I71</v>
      </c>
      <c r="L23" s="15" t="str">
        <f t="shared" ca="1" si="14"/>
        <v>'ALL JOBS'!A34</v>
      </c>
      <c r="M23" s="15" t="str">
        <f t="shared" ca="1" si="3"/>
        <v>'ALL JOBS'!B34</v>
      </c>
      <c r="N23" s="15" t="str">
        <f t="shared" ca="1" si="4"/>
        <v>'ALL JOBS'!D34</v>
      </c>
      <c r="O23" s="15" t="str">
        <f t="shared" ca="1" si="5"/>
        <v>'ALL JOBS'!E34</v>
      </c>
      <c r="P23" s="15" t="str">
        <f t="shared" ca="1" si="6"/>
        <v>'ALL JOBS'!F34</v>
      </c>
      <c r="Q23" s="15" t="str">
        <f t="shared" ca="1" si="7"/>
        <v>'ALL JOBS'!G34</v>
      </c>
      <c r="R23" s="15" t="str">
        <f t="shared" ca="1" si="8"/>
        <v>'ALL JOBS'!D34</v>
      </c>
      <c r="S23" s="13" t="str">
        <f t="shared" ca="1" si="40"/>
        <v>Y</v>
      </c>
      <c r="T23" s="16" t="str">
        <f>IF($C$1="ALL",IF('ALL JOBS'!F26="","",IF('ALL JOBS'!D26&lt;=Budget!$B$2,"","Y")),IF(ISERR(FIND($C$1,'ALL JOBS'!F26)),IF($E$1="","",IF(ISERR(FIND($E$1,'ALL JOBS'!F26)),"",IF('ALL JOBS'!D26&lt;=Budget!$B$2,"","Y"))),IF('ALL JOBS'!D26&lt;=Budget!$B$2,"","Y")))</f>
        <v/>
      </c>
      <c r="U23" s="15">
        <f t="shared" si="41"/>
        <v>23</v>
      </c>
      <c r="V23" s="15">
        <f t="shared" ca="1" si="42"/>
        <v>2</v>
      </c>
      <c r="W23" s="15" t="str">
        <f t="shared" ca="1" si="43"/>
        <v>T3:U72</v>
      </c>
      <c r="X23" s="15" t="str">
        <f t="shared" ca="1" si="15"/>
        <v>'ALL JOBS'!A8</v>
      </c>
      <c r="Y23" s="15" t="str">
        <f t="shared" ca="1" si="9"/>
        <v>'ALL JOBS'!B8</v>
      </c>
      <c r="Z23" s="15" t="str">
        <f t="shared" ca="1" si="10"/>
        <v>'ALL JOBS'!D8</v>
      </c>
      <c r="AA23" s="15" t="str">
        <f t="shared" ca="1" si="11"/>
        <v>'ALL JOBS'!E8</v>
      </c>
      <c r="AB23" s="15" t="str">
        <f t="shared" ca="1" si="16"/>
        <v>'ALL JOBS'!F8</v>
      </c>
      <c r="AC23" s="15" t="str">
        <f t="shared" ca="1" si="12"/>
        <v>'ALL JOBS'!G8</v>
      </c>
      <c r="AD23" s="15" t="str">
        <f t="shared" ca="1" si="13"/>
        <v>'ALL JOBS'!D34</v>
      </c>
      <c r="AF23" s="15">
        <f t="shared" ca="1" si="44"/>
        <v>20</v>
      </c>
      <c r="AG23" s="15" t="str">
        <f t="shared" si="45"/>
        <v>'ALL JOBS'!D29</v>
      </c>
      <c r="AH23" s="15" t="str">
        <f t="shared" si="46"/>
        <v>'ALL JOBS'!F29</v>
      </c>
      <c r="AJ23" s="15" t="b">
        <f ca="1">(OR(INDIRECT(L23)=MAX('ALL JOBS'!A:A),AJ22))</f>
        <v>0</v>
      </c>
    </row>
    <row r="24" spans="1:36" ht="30" customHeight="1">
      <c r="A24" s="15">
        <f t="shared" ca="1" si="31"/>
        <v>25</v>
      </c>
      <c r="B24" s="12" t="str">
        <f t="shared" ca="1" si="32"/>
        <v>Clean Shower sump (bucket). Check for leaks</v>
      </c>
      <c r="C24" s="13">
        <f t="shared" ca="1" si="33"/>
        <v>0</v>
      </c>
      <c r="D24" s="13" t="str">
        <f t="shared" ca="1" si="34"/>
        <v>Start of Season</v>
      </c>
      <c r="E24" s="13" t="str">
        <f t="shared" ca="1" si="35"/>
        <v>TM</v>
      </c>
      <c r="F24" s="14">
        <f t="shared" ca="1" si="36"/>
        <v>0</v>
      </c>
      <c r="G24" s="15" t="str">
        <f ca="1">IF($C$1="ALL",IF(INDIRECT(AH24)="","",IF(INDIRECT(AG24)&gt;MAX(Budget!$B$2,Budget!$E$2),"","Y")),IF(ISERR(FIND($C$1,INDIRECT(AH24))),"",IF(INDIRECT(AG24)&gt;MAX(Budget!$B$2,Budget!$E$2),"","Y")))</f>
        <v/>
      </c>
      <c r="H24" s="15">
        <f t="shared" si="37"/>
        <v>24</v>
      </c>
      <c r="I24" s="15">
        <f t="shared" ca="1" si="38"/>
        <v>29</v>
      </c>
      <c r="J24" s="15">
        <f t="shared" ca="1" si="39"/>
        <v>29</v>
      </c>
      <c r="K24" s="15" t="str">
        <f ca="1">CONCATENATE("G",J23+1,":I",'ALL JOBS'!$K$10)</f>
        <v>G29:I71</v>
      </c>
      <c r="L24" s="15" t="str">
        <f t="shared" ca="1" si="14"/>
        <v>'ALL JOBS'!A35</v>
      </c>
      <c r="M24" s="15" t="str">
        <f t="shared" ca="1" si="3"/>
        <v>'ALL JOBS'!B35</v>
      </c>
      <c r="N24" s="15" t="str">
        <f t="shared" ca="1" si="4"/>
        <v>'ALL JOBS'!D35</v>
      </c>
      <c r="O24" s="15" t="str">
        <f t="shared" ca="1" si="5"/>
        <v>'ALL JOBS'!E35</v>
      </c>
      <c r="P24" s="15" t="str">
        <f t="shared" ca="1" si="6"/>
        <v>'ALL JOBS'!F35</v>
      </c>
      <c r="Q24" s="15" t="str">
        <f t="shared" ca="1" si="7"/>
        <v>'ALL JOBS'!G35</v>
      </c>
      <c r="R24" s="15" t="str">
        <f t="shared" ca="1" si="8"/>
        <v>'ALL JOBS'!D35</v>
      </c>
      <c r="S24" s="13" t="str">
        <f t="shared" ca="1" si="40"/>
        <v>Y</v>
      </c>
      <c r="T24" s="16" t="str">
        <f>IF($C$1="ALL",IF('ALL JOBS'!F27="","",IF('ALL JOBS'!D27&lt;=Budget!$B$2,"","Y")),IF(ISERR(FIND($C$1,'ALL JOBS'!F27)),IF($E$1="","",IF(ISERR(FIND($E$1,'ALL JOBS'!F27)),"",IF('ALL JOBS'!D27&lt;=Budget!$B$2,"","Y"))),IF('ALL JOBS'!D27&lt;=Budget!$B$2,"","Y")))</f>
        <v>Y</v>
      </c>
      <c r="U24" s="15">
        <f t="shared" si="41"/>
        <v>24</v>
      </c>
      <c r="V24" s="15">
        <f t="shared" ca="1" si="42"/>
        <v>2</v>
      </c>
      <c r="W24" s="15" t="str">
        <f t="shared" ca="1" si="43"/>
        <v>T3:U72</v>
      </c>
      <c r="X24" s="15" t="str">
        <f t="shared" ca="1" si="15"/>
        <v>'ALL JOBS'!A8</v>
      </c>
      <c r="Y24" s="15" t="str">
        <f t="shared" ca="1" si="9"/>
        <v>'ALL JOBS'!B8</v>
      </c>
      <c r="Z24" s="15" t="str">
        <f t="shared" ca="1" si="10"/>
        <v>'ALL JOBS'!D8</v>
      </c>
      <c r="AA24" s="15" t="str">
        <f t="shared" ca="1" si="11"/>
        <v>'ALL JOBS'!E8</v>
      </c>
      <c r="AB24" s="15" t="str">
        <f t="shared" ca="1" si="16"/>
        <v>'ALL JOBS'!F8</v>
      </c>
      <c r="AC24" s="15" t="str">
        <f t="shared" ca="1" si="12"/>
        <v>'ALL JOBS'!G8</v>
      </c>
      <c r="AD24" s="15" t="str">
        <f t="shared" ca="1" si="13"/>
        <v>'ALL JOBS'!D35</v>
      </c>
      <c r="AF24" s="15">
        <f t="shared" ca="1" si="44"/>
        <v>21</v>
      </c>
      <c r="AG24" s="15" t="str">
        <f t="shared" si="45"/>
        <v>'ALL JOBS'!D30</v>
      </c>
      <c r="AH24" s="15" t="str">
        <f t="shared" si="46"/>
        <v>'ALL JOBS'!F30</v>
      </c>
      <c r="AJ24" s="15" t="b">
        <f ca="1">(OR(INDIRECT(L24)=MAX('ALL JOBS'!A:A),AJ23))</f>
        <v>0</v>
      </c>
    </row>
    <row r="25" spans="1:36" ht="30" customHeight="1">
      <c r="A25" s="15">
        <f t="shared" ca="1" si="31"/>
        <v>26</v>
      </c>
      <c r="B25" s="12" t="str">
        <f t="shared" ca="1" si="32"/>
        <v xml:space="preserve">De-winterise, check for leaks, reinstall, change water filter. Re-install Port Side Heating pump and shower. </v>
      </c>
      <c r="C25" s="13">
        <f t="shared" ca="1" si="33"/>
        <v>0</v>
      </c>
      <c r="D25" s="13" t="str">
        <f t="shared" ca="1" si="34"/>
        <v>Winterisation</v>
      </c>
      <c r="E25" s="13" t="str">
        <f t="shared" ca="1" si="35"/>
        <v>DRK</v>
      </c>
      <c r="F25" s="14">
        <f t="shared" ca="1" si="36"/>
        <v>20</v>
      </c>
      <c r="G25" s="15" t="str">
        <f ca="1">IF($C$1="ALL",IF(INDIRECT(AH25)="","",IF(INDIRECT(AG25)&gt;MAX(Budget!$B$2,Budget!$E$2),"","Y")),IF(ISERR(FIND($C$1,INDIRECT(AH25))),"",IF(INDIRECT(AG25)&gt;MAX(Budget!$B$2,Budget!$E$2),"","Y")))</f>
        <v>Y</v>
      </c>
      <c r="H25" s="15">
        <f t="shared" si="37"/>
        <v>25</v>
      </c>
      <c r="I25" s="15">
        <f t="shared" ca="1" si="38"/>
        <v>30</v>
      </c>
      <c r="J25" s="15">
        <f t="shared" ca="1" si="39"/>
        <v>30</v>
      </c>
      <c r="K25" s="15" t="str">
        <f ca="1">CONCATENATE("G",J24+1,":I",'ALL JOBS'!$K$10)</f>
        <v>G30:I71</v>
      </c>
      <c r="L25" s="15" t="str">
        <f t="shared" ca="1" si="14"/>
        <v>'ALL JOBS'!A36</v>
      </c>
      <c r="M25" s="15" t="str">
        <f t="shared" ca="1" si="3"/>
        <v>'ALL JOBS'!B36</v>
      </c>
      <c r="N25" s="15" t="str">
        <f t="shared" ca="1" si="4"/>
        <v>'ALL JOBS'!D36</v>
      </c>
      <c r="O25" s="15" t="str">
        <f t="shared" ca="1" si="5"/>
        <v>'ALL JOBS'!E36</v>
      </c>
      <c r="P25" s="15" t="str">
        <f t="shared" ca="1" si="6"/>
        <v>'ALL JOBS'!F36</v>
      </c>
      <c r="Q25" s="15" t="str">
        <f t="shared" ca="1" si="7"/>
        <v>'ALL JOBS'!G36</v>
      </c>
      <c r="R25" s="15" t="str">
        <f t="shared" ca="1" si="8"/>
        <v>'ALL JOBS'!D36</v>
      </c>
      <c r="S25" s="13" t="str">
        <f t="shared" ca="1" si="40"/>
        <v>Y</v>
      </c>
      <c r="T25" s="16" t="str">
        <f>IF($C$1="ALL",IF('ALL JOBS'!F28="","",IF('ALL JOBS'!D28&lt;=Budget!$B$2,"","Y")),IF(ISERR(FIND($C$1,'ALL JOBS'!F28)),IF($E$1="","",IF(ISERR(FIND($E$1,'ALL JOBS'!F28)),"",IF('ALL JOBS'!D28&lt;=Budget!$B$2,"","Y"))),IF('ALL JOBS'!D28&lt;=Budget!$B$2,"","Y")))</f>
        <v/>
      </c>
      <c r="U25" s="15">
        <f t="shared" si="41"/>
        <v>25</v>
      </c>
      <c r="V25" s="15">
        <f t="shared" ca="1" si="42"/>
        <v>2</v>
      </c>
      <c r="W25" s="15" t="str">
        <f t="shared" ca="1" si="43"/>
        <v>T3:U72</v>
      </c>
      <c r="X25" s="15" t="str">
        <f t="shared" ca="1" si="15"/>
        <v>'ALL JOBS'!A8</v>
      </c>
      <c r="Y25" s="15" t="str">
        <f t="shared" ca="1" si="9"/>
        <v>'ALL JOBS'!B8</v>
      </c>
      <c r="Z25" s="15" t="str">
        <f t="shared" ca="1" si="10"/>
        <v>'ALL JOBS'!D8</v>
      </c>
      <c r="AA25" s="15" t="str">
        <f t="shared" ca="1" si="11"/>
        <v>'ALL JOBS'!E8</v>
      </c>
      <c r="AB25" s="15" t="str">
        <f t="shared" ca="1" si="16"/>
        <v>'ALL JOBS'!F8</v>
      </c>
      <c r="AC25" s="15" t="str">
        <f t="shared" ca="1" si="12"/>
        <v>'ALL JOBS'!G8</v>
      </c>
      <c r="AD25" s="15" t="str">
        <f t="shared" ca="1" si="13"/>
        <v>'ALL JOBS'!D36</v>
      </c>
      <c r="AF25" s="15">
        <f t="shared" ca="1" si="44"/>
        <v>22</v>
      </c>
      <c r="AG25" s="15" t="str">
        <f t="shared" si="45"/>
        <v>'ALL JOBS'!D31</v>
      </c>
      <c r="AH25" s="15" t="str">
        <f t="shared" si="46"/>
        <v>'ALL JOBS'!F31</v>
      </c>
      <c r="AJ25" s="15" t="b">
        <f ca="1">(OR(INDIRECT(L25)=MAX('ALL JOBS'!A:A),AJ24))</f>
        <v>0</v>
      </c>
    </row>
    <row r="26" spans="1:36" ht="30" customHeight="1">
      <c r="A26" s="15">
        <f t="shared" ca="1" si="31"/>
        <v>27</v>
      </c>
      <c r="B26" s="12" t="str">
        <f t="shared" ca="1" si="32"/>
        <v>Winterisation- Partial (November) Full (December)</v>
      </c>
      <c r="C26" s="13">
        <f t="shared" ca="1" si="33"/>
        <v>0</v>
      </c>
      <c r="D26" s="13" t="str">
        <f t="shared" ca="1" si="34"/>
        <v>Winterisation</v>
      </c>
      <c r="E26" s="13" t="str">
        <f t="shared" ca="1" si="35"/>
        <v>DRK</v>
      </c>
      <c r="F26" s="14">
        <f t="shared" ca="1" si="36"/>
        <v>0</v>
      </c>
      <c r="G26" s="15" t="str">
        <f ca="1">IF($C$1="ALL",IF(INDIRECT(AH26)="","",IF(INDIRECT(AG26)&gt;MAX(Budget!$B$2,Budget!$E$2),"","Y")),IF(ISERR(FIND($C$1,INDIRECT(AH26))),"",IF(INDIRECT(AG26)&gt;MAX(Budget!$B$2,Budget!$E$2),"","Y")))</f>
        <v>Y</v>
      </c>
      <c r="H26" s="15">
        <f t="shared" si="37"/>
        <v>26</v>
      </c>
      <c r="I26" s="15">
        <f t="shared" ca="1" si="38"/>
        <v>31</v>
      </c>
      <c r="J26" s="15">
        <f t="shared" ca="1" si="39"/>
        <v>31</v>
      </c>
      <c r="K26" s="15" t="str">
        <f ca="1">CONCATENATE("G",J25+1,":I",'ALL JOBS'!$K$10)</f>
        <v>G31:I71</v>
      </c>
      <c r="L26" s="15" t="str">
        <f t="shared" ca="1" si="14"/>
        <v>'ALL JOBS'!A37</v>
      </c>
      <c r="M26" s="15" t="str">
        <f t="shared" ca="1" si="3"/>
        <v>'ALL JOBS'!B37</v>
      </c>
      <c r="N26" s="15" t="str">
        <f t="shared" ca="1" si="4"/>
        <v>'ALL JOBS'!D37</v>
      </c>
      <c r="O26" s="15" t="str">
        <f t="shared" ca="1" si="5"/>
        <v>'ALL JOBS'!E37</v>
      </c>
      <c r="P26" s="15" t="str">
        <f t="shared" ca="1" si="6"/>
        <v>'ALL JOBS'!F37</v>
      </c>
      <c r="Q26" s="15" t="str">
        <f t="shared" ca="1" si="7"/>
        <v>'ALL JOBS'!G37</v>
      </c>
      <c r="R26" s="15" t="str">
        <f t="shared" ca="1" si="8"/>
        <v>'ALL JOBS'!D37</v>
      </c>
      <c r="S26" s="13" t="str">
        <f t="shared" ca="1" si="40"/>
        <v>Y</v>
      </c>
      <c r="T26" s="16" t="str">
        <f>IF($C$1="ALL",IF('ALL JOBS'!F29="","",IF('ALL JOBS'!D29&lt;=Budget!$B$2,"","Y")),IF(ISERR(FIND($C$1,'ALL JOBS'!F29)),IF($E$1="","",IF(ISERR(FIND($E$1,'ALL JOBS'!F29)),"",IF('ALL JOBS'!D29&lt;=Budget!$B$2,"","Y"))),IF('ALL JOBS'!D29&lt;=Budget!$B$2,"","Y")))</f>
        <v/>
      </c>
      <c r="U26" s="15">
        <f t="shared" si="41"/>
        <v>26</v>
      </c>
      <c r="V26" s="15">
        <f t="shared" ca="1" si="42"/>
        <v>2</v>
      </c>
      <c r="W26" s="15" t="str">
        <f t="shared" ca="1" si="43"/>
        <v>T3:U72</v>
      </c>
      <c r="X26" s="15" t="str">
        <f t="shared" ca="1" si="15"/>
        <v>'ALL JOBS'!A8</v>
      </c>
      <c r="Y26" s="15" t="str">
        <f t="shared" ca="1" si="9"/>
        <v>'ALL JOBS'!B8</v>
      </c>
      <c r="Z26" s="15" t="str">
        <f t="shared" ca="1" si="10"/>
        <v>'ALL JOBS'!D8</v>
      </c>
      <c r="AA26" s="15" t="str">
        <f t="shared" ca="1" si="11"/>
        <v>'ALL JOBS'!E8</v>
      </c>
      <c r="AB26" s="15" t="str">
        <f t="shared" ca="1" si="16"/>
        <v>'ALL JOBS'!F8</v>
      </c>
      <c r="AC26" s="15" t="str">
        <f t="shared" ca="1" si="12"/>
        <v>'ALL JOBS'!G8</v>
      </c>
      <c r="AD26" s="15" t="str">
        <f t="shared" ca="1" si="13"/>
        <v>'ALL JOBS'!D37</v>
      </c>
      <c r="AF26" s="15">
        <f t="shared" ca="1" si="44"/>
        <v>23</v>
      </c>
      <c r="AG26" s="15" t="str">
        <f t="shared" si="45"/>
        <v>'ALL JOBS'!D32</v>
      </c>
      <c r="AH26" s="15" t="str">
        <f t="shared" si="46"/>
        <v>'ALL JOBS'!F32</v>
      </c>
      <c r="AJ26" s="15" t="b">
        <f ca="1">(OR(INDIRECT(L26)=MAX('ALL JOBS'!A:A),AJ25))</f>
        <v>0</v>
      </c>
    </row>
    <row r="27" spans="1:36" ht="30" customHeight="1">
      <c r="A27" s="15">
        <f t="shared" ca="1" si="31"/>
        <v>28</v>
      </c>
      <c r="B27" s="12" t="str">
        <f t="shared" ca="1" si="32"/>
        <v>Touch up paint on gunnels (PB to supply paint)  2026: Touch up external paintwork incl white at rear of counter &amp; tiller Remove remnants of masking tape over rear locker</v>
      </c>
      <c r="C27" s="13">
        <f t="shared" ca="1" si="33"/>
        <v>1</v>
      </c>
      <c r="D27" s="13" t="str">
        <f t="shared" ca="1" si="34"/>
        <v>Start of Season</v>
      </c>
      <c r="E27" s="13" t="str">
        <f t="shared" ca="1" si="35"/>
        <v>DB/DJ/JM (PB)</v>
      </c>
      <c r="F27" s="14">
        <f t="shared" ca="1" si="36"/>
        <v>50</v>
      </c>
      <c r="G27" s="15" t="str">
        <f ca="1">IF($C$1="ALL",IF(INDIRECT(AH27)="","",IF(INDIRECT(AG27)&gt;MAX(Budget!$B$2,Budget!$E$2),"","Y")),IF(ISERR(FIND($C$1,INDIRECT(AH27))),"",IF(INDIRECT(AG27)&gt;MAX(Budget!$B$2,Budget!$E$2),"","Y")))</f>
        <v/>
      </c>
      <c r="H27" s="15">
        <f t="shared" si="37"/>
        <v>27</v>
      </c>
      <c r="I27" s="15">
        <f t="shared" ca="1" si="38"/>
        <v>32</v>
      </c>
      <c r="J27" s="15">
        <f t="shared" ca="1" si="39"/>
        <v>32</v>
      </c>
      <c r="K27" s="15" t="str">
        <f ca="1">CONCATENATE("G",J26+1,":I",'ALL JOBS'!$K$10)</f>
        <v>G32:I71</v>
      </c>
      <c r="L27" s="15" t="str">
        <f t="shared" ca="1" si="14"/>
        <v>'ALL JOBS'!A38</v>
      </c>
      <c r="M27" s="15" t="str">
        <f t="shared" ca="1" si="3"/>
        <v>'ALL JOBS'!B38</v>
      </c>
      <c r="N27" s="15" t="str">
        <f t="shared" ca="1" si="4"/>
        <v>'ALL JOBS'!D38</v>
      </c>
      <c r="O27" s="15" t="str">
        <f t="shared" ca="1" si="5"/>
        <v>'ALL JOBS'!E38</v>
      </c>
      <c r="P27" s="15" t="str">
        <f t="shared" ca="1" si="6"/>
        <v>'ALL JOBS'!F38</v>
      </c>
      <c r="Q27" s="15" t="str">
        <f t="shared" ca="1" si="7"/>
        <v>'ALL JOBS'!G38</v>
      </c>
      <c r="R27" s="15" t="str">
        <f t="shared" ca="1" si="8"/>
        <v>'ALL JOBS'!D38</v>
      </c>
      <c r="S27" s="13" t="str">
        <f t="shared" ca="1" si="40"/>
        <v>Y</v>
      </c>
      <c r="T27" s="16" t="str">
        <f>IF($C$1="ALL",IF('ALL JOBS'!F30="","",IF('ALL JOBS'!D30&lt;=Budget!$B$2,"","Y")),IF(ISERR(FIND($C$1,'ALL JOBS'!F30)),IF($E$1="","",IF(ISERR(FIND($E$1,'ALL JOBS'!F30)),"",IF('ALL JOBS'!D30&lt;=Budget!$B$2,"","Y"))),IF('ALL JOBS'!D30&lt;=Budget!$B$2,"","Y")))</f>
        <v>Y</v>
      </c>
      <c r="U27" s="15">
        <f t="shared" si="41"/>
        <v>27</v>
      </c>
      <c r="V27" s="15">
        <f t="shared" ca="1" si="42"/>
        <v>2</v>
      </c>
      <c r="W27" s="15" t="str">
        <f t="shared" ca="1" si="43"/>
        <v>T3:U72</v>
      </c>
      <c r="X27" s="15" t="str">
        <f t="shared" ca="1" si="15"/>
        <v>'ALL JOBS'!A8</v>
      </c>
      <c r="Y27" s="15" t="str">
        <f t="shared" ca="1" si="9"/>
        <v>'ALL JOBS'!B8</v>
      </c>
      <c r="Z27" s="15" t="str">
        <f t="shared" ca="1" si="10"/>
        <v>'ALL JOBS'!D8</v>
      </c>
      <c r="AA27" s="15" t="str">
        <f t="shared" ca="1" si="11"/>
        <v>'ALL JOBS'!E8</v>
      </c>
      <c r="AB27" s="15" t="str">
        <f t="shared" ca="1" si="16"/>
        <v>'ALL JOBS'!F8</v>
      </c>
      <c r="AC27" s="15" t="str">
        <f t="shared" ca="1" si="12"/>
        <v>'ALL JOBS'!G8</v>
      </c>
      <c r="AD27" s="15" t="str">
        <f t="shared" ca="1" si="13"/>
        <v>'ALL JOBS'!D38</v>
      </c>
      <c r="AF27" s="15">
        <f t="shared" ca="1" si="44"/>
        <v>24</v>
      </c>
      <c r="AG27" s="15" t="str">
        <f t="shared" si="45"/>
        <v>'ALL JOBS'!D33</v>
      </c>
      <c r="AH27" s="15" t="str">
        <f t="shared" si="46"/>
        <v>'ALL JOBS'!F33</v>
      </c>
      <c r="AJ27" s="15" t="b">
        <f ca="1">(OR(INDIRECT(L27)=MAX('ALL JOBS'!A:A),AJ26))</f>
        <v>0</v>
      </c>
    </row>
    <row r="28" spans="1:36" ht="30" customHeight="1">
      <c r="A28" s="15">
        <f t="shared" ca="1" si="31"/>
        <v>29</v>
      </c>
      <c r="B28" s="12" t="str">
        <f t="shared" ca="1" si="32"/>
        <v>Replace batteries in water gauge. 2026: Check water meter for leak   Reiterate / revise previous instructions on re-setting water meter</v>
      </c>
      <c r="C28" s="13">
        <f t="shared" ca="1" si="33"/>
        <v>0</v>
      </c>
      <c r="D28" s="13" t="str">
        <f t="shared" ca="1" si="34"/>
        <v>Start of Season</v>
      </c>
      <c r="E28" s="13" t="str">
        <f t="shared" ca="1" si="35"/>
        <v>DA</v>
      </c>
      <c r="F28" s="14">
        <f t="shared" ca="1" si="36"/>
        <v>5</v>
      </c>
      <c r="G28" s="15" t="str">
        <f ca="1">IF($C$1="ALL",IF(INDIRECT(AH28)="","",IF(INDIRECT(AG28)&gt;MAX(Budget!$B$2,Budget!$E$2),"","Y")),IF(ISERR(FIND($C$1,INDIRECT(AH28))),"",IF(INDIRECT(AG28)&gt;MAX(Budget!$B$2,Budget!$E$2),"","Y")))</f>
        <v>Y</v>
      </c>
      <c r="H28" s="15">
        <f t="shared" si="37"/>
        <v>28</v>
      </c>
      <c r="I28" s="15">
        <f t="shared" ca="1" si="38"/>
        <v>33</v>
      </c>
      <c r="J28" s="15">
        <f t="shared" ca="1" si="39"/>
        <v>33</v>
      </c>
      <c r="K28" s="15" t="str">
        <f ca="1">CONCATENATE("G",J27+1,":I",'ALL JOBS'!$K$10)</f>
        <v>G33:I71</v>
      </c>
      <c r="L28" s="15" t="str">
        <f t="shared" ca="1" si="14"/>
        <v>'ALL JOBS'!A39</v>
      </c>
      <c r="M28" s="15" t="str">
        <f t="shared" ca="1" si="3"/>
        <v>'ALL JOBS'!B39</v>
      </c>
      <c r="N28" s="15" t="str">
        <f t="shared" ca="1" si="4"/>
        <v>'ALL JOBS'!D39</v>
      </c>
      <c r="O28" s="15" t="str">
        <f t="shared" ca="1" si="5"/>
        <v>'ALL JOBS'!E39</v>
      </c>
      <c r="P28" s="15" t="str">
        <f t="shared" ca="1" si="6"/>
        <v>'ALL JOBS'!F39</v>
      </c>
      <c r="Q28" s="15" t="str">
        <f t="shared" ca="1" si="7"/>
        <v>'ALL JOBS'!G39</v>
      </c>
      <c r="R28" s="15" t="str">
        <f t="shared" ca="1" si="8"/>
        <v>'ALL JOBS'!D39</v>
      </c>
      <c r="S28" s="13" t="str">
        <f t="shared" ca="1" si="40"/>
        <v>Y</v>
      </c>
      <c r="T28" s="16" t="str">
        <f>IF($C$1="ALL",IF('ALL JOBS'!F31="","",IF('ALL JOBS'!D31&lt;=Budget!$B$2,"","Y")),IF(ISERR(FIND($C$1,'ALL JOBS'!F31)),IF($E$1="","",IF(ISERR(FIND($E$1,'ALL JOBS'!F31)),"",IF('ALL JOBS'!D31&lt;=Budget!$B$2,"","Y"))),IF('ALL JOBS'!D31&lt;=Budget!$B$2,"","Y")))</f>
        <v/>
      </c>
      <c r="U28" s="15">
        <f t="shared" si="41"/>
        <v>28</v>
      </c>
      <c r="V28" s="15">
        <f t="shared" ca="1" si="42"/>
        <v>2</v>
      </c>
      <c r="W28" s="15" t="str">
        <f t="shared" ca="1" si="43"/>
        <v>T3:U72</v>
      </c>
      <c r="X28" s="15" t="str">
        <f t="shared" ca="1" si="15"/>
        <v>'ALL JOBS'!A8</v>
      </c>
      <c r="Y28" s="15" t="str">
        <f t="shared" ca="1" si="9"/>
        <v>'ALL JOBS'!B8</v>
      </c>
      <c r="Z28" s="15" t="str">
        <f t="shared" ca="1" si="10"/>
        <v>'ALL JOBS'!D8</v>
      </c>
      <c r="AA28" s="15" t="str">
        <f t="shared" ca="1" si="11"/>
        <v>'ALL JOBS'!E8</v>
      </c>
      <c r="AB28" s="15" t="str">
        <f t="shared" ca="1" si="16"/>
        <v>'ALL JOBS'!F8</v>
      </c>
      <c r="AC28" s="15" t="str">
        <f t="shared" ca="1" si="12"/>
        <v>'ALL JOBS'!G8</v>
      </c>
      <c r="AD28" s="15" t="str">
        <f t="shared" ca="1" si="13"/>
        <v>'ALL JOBS'!D39</v>
      </c>
      <c r="AF28" s="15">
        <f t="shared" ca="1" si="44"/>
        <v>25</v>
      </c>
      <c r="AG28" s="15" t="str">
        <f t="shared" si="45"/>
        <v>'ALL JOBS'!D34</v>
      </c>
      <c r="AH28" s="15" t="str">
        <f t="shared" si="46"/>
        <v>'ALL JOBS'!F34</v>
      </c>
      <c r="AJ28" s="15" t="b">
        <f ca="1">(OR(INDIRECT(L28)=MAX('ALL JOBS'!A:A),AJ27))</f>
        <v>0</v>
      </c>
    </row>
    <row r="29" spans="1:36" ht="30" customHeight="1">
      <c r="A29" s="15">
        <f t="shared" ca="1" si="31"/>
        <v>31</v>
      </c>
      <c r="B29" s="12" t="str">
        <f t="shared" ca="1" si="32"/>
        <v xml:space="preserve">Design &amp; Cost new water filter </v>
      </c>
      <c r="C29" s="13">
        <f t="shared" ca="1" si="33"/>
        <v>1</v>
      </c>
      <c r="D29" s="13" t="str">
        <f t="shared" ca="1" si="34"/>
        <v>Plumbing</v>
      </c>
      <c r="E29" s="13" t="str">
        <f t="shared" ca="1" si="35"/>
        <v>DRK/PB</v>
      </c>
      <c r="F29" s="14">
        <f t="shared" ca="1" si="36"/>
        <v>0</v>
      </c>
      <c r="G29" s="15" t="str">
        <f ca="1">IF($C$1="ALL",IF(INDIRECT(AH29)="","",IF(INDIRECT(AG29)&gt;MAX(Budget!$B$2,Budget!$E$2),"","Y")),IF(ISERR(FIND($C$1,INDIRECT(AH29))),"",IF(INDIRECT(AG29)&gt;MAX(Budget!$B$2,Budget!$E$2),"","Y")))</f>
        <v>Y</v>
      </c>
      <c r="H29" s="15">
        <f t="shared" si="37"/>
        <v>29</v>
      </c>
      <c r="I29" s="15">
        <f t="shared" ca="1" si="38"/>
        <v>36</v>
      </c>
      <c r="J29" s="15">
        <f t="shared" ca="1" si="39"/>
        <v>36</v>
      </c>
      <c r="K29" s="15" t="str">
        <f ca="1">CONCATENATE("G",J28+1,":I",'ALL JOBS'!$K$10)</f>
        <v>G34:I71</v>
      </c>
      <c r="L29" s="15" t="str">
        <f t="shared" ca="1" si="14"/>
        <v>'ALL JOBS'!A42</v>
      </c>
      <c r="M29" s="15" t="str">
        <f t="shared" ca="1" si="3"/>
        <v>'ALL JOBS'!B42</v>
      </c>
      <c r="N29" s="15" t="str">
        <f t="shared" ca="1" si="4"/>
        <v>'ALL JOBS'!D42</v>
      </c>
      <c r="O29" s="15" t="str">
        <f t="shared" ca="1" si="5"/>
        <v>'ALL JOBS'!E42</v>
      </c>
      <c r="P29" s="15" t="str">
        <f t="shared" ca="1" si="6"/>
        <v>'ALL JOBS'!F42</v>
      </c>
      <c r="Q29" s="15" t="str">
        <f t="shared" ca="1" si="7"/>
        <v>'ALL JOBS'!G42</v>
      </c>
      <c r="R29" s="15" t="str">
        <f t="shared" ca="1" si="8"/>
        <v>'ALL JOBS'!D42</v>
      </c>
      <c r="S29" s="13" t="str">
        <f t="shared" ca="1" si="40"/>
        <v>Y</v>
      </c>
      <c r="T29" s="16" t="str">
        <f>IF($C$1="ALL",IF('ALL JOBS'!F32="","",IF('ALL JOBS'!D32&lt;=Budget!$B$2,"","Y")),IF(ISERR(FIND($C$1,'ALL JOBS'!F32)),IF($E$1="","",IF(ISERR(FIND($E$1,'ALL JOBS'!F32)),"",IF('ALL JOBS'!D32&lt;=Budget!$B$2,"","Y"))),IF('ALL JOBS'!D32&lt;=Budget!$B$2,"","Y")))</f>
        <v/>
      </c>
      <c r="U29" s="15">
        <f t="shared" si="41"/>
        <v>29</v>
      </c>
      <c r="V29" s="15">
        <f t="shared" ca="1" si="42"/>
        <v>2</v>
      </c>
      <c r="W29" s="15" t="str">
        <f t="shared" ca="1" si="43"/>
        <v>T3:U72</v>
      </c>
      <c r="X29" s="15" t="str">
        <f t="shared" ca="1" si="15"/>
        <v>'ALL JOBS'!A8</v>
      </c>
      <c r="Y29" s="15" t="str">
        <f t="shared" ca="1" si="9"/>
        <v>'ALL JOBS'!B8</v>
      </c>
      <c r="Z29" s="15" t="str">
        <f t="shared" ca="1" si="10"/>
        <v>'ALL JOBS'!D8</v>
      </c>
      <c r="AA29" s="15" t="str">
        <f t="shared" ca="1" si="11"/>
        <v>'ALL JOBS'!E8</v>
      </c>
      <c r="AB29" s="15" t="str">
        <f t="shared" ca="1" si="16"/>
        <v>'ALL JOBS'!F8</v>
      </c>
      <c r="AC29" s="15" t="str">
        <f t="shared" ca="1" si="12"/>
        <v>'ALL JOBS'!G8</v>
      </c>
      <c r="AD29" s="15" t="str">
        <f t="shared" ca="1" si="13"/>
        <v>'ALL JOBS'!D42</v>
      </c>
      <c r="AF29" s="15">
        <f t="shared" ca="1" si="44"/>
        <v>26</v>
      </c>
      <c r="AG29" s="15" t="str">
        <f t="shared" si="45"/>
        <v>'ALL JOBS'!D35</v>
      </c>
      <c r="AH29" s="15" t="str">
        <f t="shared" si="46"/>
        <v>'ALL JOBS'!F35</v>
      </c>
      <c r="AJ29" s="15" t="b">
        <f ca="1">(OR(INDIRECT(L29)=MAX('ALL JOBS'!A:A),AJ28))</f>
        <v>0</v>
      </c>
    </row>
    <row r="30" spans="1:36" ht="30" customHeight="1">
      <c r="A30" s="15">
        <f t="shared" ca="1" si="31"/>
        <v>33</v>
      </c>
      <c r="B30" s="12" t="str">
        <f t="shared" ca="1" si="32"/>
        <v>Adjust Rear coverings (Butile &amp; Mats)</v>
      </c>
      <c r="C30" s="13">
        <f t="shared" ca="1" si="33"/>
        <v>1</v>
      </c>
      <c r="D30" s="13" t="str">
        <f t="shared" ca="1" si="34"/>
        <v>Hull</v>
      </c>
      <c r="E30" s="13" t="str">
        <f t="shared" ca="1" si="35"/>
        <v>PB/TM</v>
      </c>
      <c r="F30" s="14">
        <f t="shared" ca="1" si="36"/>
        <v>0</v>
      </c>
      <c r="G30" s="15" t="str">
        <f ca="1">IF($C$1="ALL",IF(INDIRECT(AH30)="","",IF(INDIRECT(AG30)&gt;MAX(Budget!$B$2,Budget!$E$2),"","Y")),IF(ISERR(FIND($C$1,INDIRECT(AH30))),"",IF(INDIRECT(AG30)&gt;MAX(Budget!$B$2,Budget!$E$2),"","Y")))</f>
        <v>Y</v>
      </c>
      <c r="H30" s="15">
        <f t="shared" si="37"/>
        <v>30</v>
      </c>
      <c r="I30" s="15">
        <f t="shared" ca="1" si="38"/>
        <v>38</v>
      </c>
      <c r="J30" s="15">
        <f t="shared" ca="1" si="39"/>
        <v>38</v>
      </c>
      <c r="K30" s="15" t="str">
        <f ca="1">CONCATENATE("G",J29+1,":I",'ALL JOBS'!$K$10)</f>
        <v>G37:I71</v>
      </c>
      <c r="L30" s="15" t="str">
        <f t="shared" ca="1" si="14"/>
        <v>'ALL JOBS'!A44</v>
      </c>
      <c r="M30" s="15" t="str">
        <f t="shared" ca="1" si="3"/>
        <v>'ALL JOBS'!B44</v>
      </c>
      <c r="N30" s="15" t="str">
        <f t="shared" ca="1" si="4"/>
        <v>'ALL JOBS'!D44</v>
      </c>
      <c r="O30" s="15" t="str">
        <f t="shared" ca="1" si="5"/>
        <v>'ALL JOBS'!E44</v>
      </c>
      <c r="P30" s="15" t="str">
        <f t="shared" ca="1" si="6"/>
        <v>'ALL JOBS'!F44</v>
      </c>
      <c r="Q30" s="15" t="str">
        <f t="shared" ca="1" si="7"/>
        <v>'ALL JOBS'!G44</v>
      </c>
      <c r="R30" s="15" t="str">
        <f t="shared" ca="1" si="8"/>
        <v>'ALL JOBS'!D44</v>
      </c>
      <c r="S30" s="13" t="str">
        <f t="shared" ca="1" si="40"/>
        <v>Y</v>
      </c>
      <c r="T30" s="16" t="str">
        <f>IF($C$1="ALL",IF('ALL JOBS'!F33="","",IF('ALL JOBS'!D33&lt;=Budget!$B$2,"","Y")),IF(ISERR(FIND($C$1,'ALL JOBS'!F33)),IF($E$1="","",IF(ISERR(FIND($E$1,'ALL JOBS'!F33)),"",IF('ALL JOBS'!D33&lt;=Budget!$B$2,"","Y"))),IF('ALL JOBS'!D33&lt;=Budget!$B$2,"","Y")))</f>
        <v>Y</v>
      </c>
      <c r="U30" s="15">
        <f t="shared" si="41"/>
        <v>30</v>
      </c>
      <c r="V30" s="15">
        <f t="shared" ca="1" si="42"/>
        <v>2</v>
      </c>
      <c r="W30" s="15" t="str">
        <f t="shared" ca="1" si="43"/>
        <v>T3:U72</v>
      </c>
      <c r="X30" s="15" t="str">
        <f t="shared" ca="1" si="15"/>
        <v>'ALL JOBS'!A8</v>
      </c>
      <c r="Y30" s="15" t="str">
        <f t="shared" ca="1" si="9"/>
        <v>'ALL JOBS'!B8</v>
      </c>
      <c r="Z30" s="15" t="str">
        <f t="shared" ca="1" si="10"/>
        <v>'ALL JOBS'!D8</v>
      </c>
      <c r="AA30" s="15" t="str">
        <f t="shared" ca="1" si="11"/>
        <v>'ALL JOBS'!E8</v>
      </c>
      <c r="AB30" s="15" t="str">
        <f t="shared" ca="1" si="16"/>
        <v>'ALL JOBS'!F8</v>
      </c>
      <c r="AC30" s="15" t="str">
        <f t="shared" ca="1" si="12"/>
        <v>'ALL JOBS'!G8</v>
      </c>
      <c r="AD30" s="15" t="str">
        <f t="shared" ca="1" si="13"/>
        <v>'ALL JOBS'!D44</v>
      </c>
      <c r="AF30" s="15">
        <f t="shared" ca="1" si="44"/>
        <v>27</v>
      </c>
      <c r="AG30" s="15" t="str">
        <f t="shared" si="45"/>
        <v>'ALL JOBS'!D36</v>
      </c>
      <c r="AH30" s="15" t="str">
        <f t="shared" si="46"/>
        <v>'ALL JOBS'!F36</v>
      </c>
      <c r="AJ30" s="15" t="b">
        <f ca="1">(OR(INDIRECT(L30)=MAX('ALL JOBS'!A:A),AJ29))</f>
        <v>0</v>
      </c>
    </row>
    <row r="31" spans="1:36" ht="30" customHeight="1">
      <c r="A31" s="15">
        <f t="shared" ca="1" si="31"/>
        <v>36</v>
      </c>
      <c r="B31" s="12" t="str">
        <f t="shared" ca="1" si="32"/>
        <v>Make hole for pumping out under floor with no access, area by rear loo.</v>
      </c>
      <c r="C31" s="13">
        <f t="shared" ca="1" si="33"/>
        <v>3</v>
      </c>
      <c r="D31" s="13" t="str">
        <f t="shared" ca="1" si="34"/>
        <v>Flooring</v>
      </c>
      <c r="E31" s="13" t="str">
        <f t="shared" ca="1" si="35"/>
        <v>DB</v>
      </c>
      <c r="F31" s="14">
        <f t="shared" ca="1" si="36"/>
        <v>0</v>
      </c>
      <c r="G31" s="15" t="str">
        <f ca="1">IF($C$1="ALL",IF(INDIRECT(AH31)="","",IF(INDIRECT(AG31)&gt;MAX(Budget!$B$2,Budget!$E$2),"","Y")),IF(ISERR(FIND($C$1,INDIRECT(AH31))),"",IF(INDIRECT(AG31)&gt;MAX(Budget!$B$2,Budget!$E$2),"","Y")))</f>
        <v>Y</v>
      </c>
      <c r="H31" s="15">
        <f t="shared" si="37"/>
        <v>31</v>
      </c>
      <c r="I31" s="15">
        <f t="shared" ca="1" si="38"/>
        <v>41</v>
      </c>
      <c r="J31" s="15">
        <f t="shared" ca="1" si="39"/>
        <v>41</v>
      </c>
      <c r="K31" s="15" t="str">
        <f ca="1">CONCATENATE("G",J30+1,":I",'ALL JOBS'!$K$10)</f>
        <v>G39:I71</v>
      </c>
      <c r="L31" s="15" t="str">
        <f t="shared" ca="1" si="14"/>
        <v>'ALL JOBS'!A47</v>
      </c>
      <c r="M31" s="15" t="str">
        <f t="shared" ca="1" si="3"/>
        <v>'ALL JOBS'!B47</v>
      </c>
      <c r="N31" s="15" t="str">
        <f t="shared" ca="1" si="4"/>
        <v>'ALL JOBS'!D47</v>
      </c>
      <c r="O31" s="15" t="str">
        <f t="shared" ca="1" si="5"/>
        <v>'ALL JOBS'!E47</v>
      </c>
      <c r="P31" s="15" t="str">
        <f t="shared" ca="1" si="6"/>
        <v>'ALL JOBS'!F47</v>
      </c>
      <c r="Q31" s="15" t="str">
        <f t="shared" ca="1" si="7"/>
        <v>'ALL JOBS'!G47</v>
      </c>
      <c r="R31" s="15" t="str">
        <f t="shared" ca="1" si="8"/>
        <v>'ALL JOBS'!D47</v>
      </c>
      <c r="S31" s="13" t="str">
        <f t="shared" ca="1" si="40"/>
        <v>Y</v>
      </c>
      <c r="T31" s="16" t="str">
        <f>IF($C$1="ALL",IF('ALL JOBS'!F34="","",IF('ALL JOBS'!D34&lt;=Budget!$B$2,"","Y")),IF(ISERR(FIND($C$1,'ALL JOBS'!F34)),IF($E$1="","",IF(ISERR(FIND($E$1,'ALL JOBS'!F34)),"",IF('ALL JOBS'!D34&lt;=Budget!$B$2,"","Y"))),IF('ALL JOBS'!D34&lt;=Budget!$B$2,"","Y")))</f>
        <v/>
      </c>
      <c r="U31" s="15">
        <f t="shared" si="41"/>
        <v>31</v>
      </c>
      <c r="V31" s="15">
        <f t="shared" ca="1" si="42"/>
        <v>2</v>
      </c>
      <c r="W31" s="15" t="str">
        <f t="shared" ca="1" si="43"/>
        <v>T3:U72</v>
      </c>
      <c r="X31" s="15" t="str">
        <f t="shared" ca="1" si="15"/>
        <v>'ALL JOBS'!A8</v>
      </c>
      <c r="Y31" s="15" t="str">
        <f t="shared" ca="1" si="9"/>
        <v>'ALL JOBS'!B8</v>
      </c>
      <c r="Z31" s="15" t="str">
        <f t="shared" ca="1" si="10"/>
        <v>'ALL JOBS'!D8</v>
      </c>
      <c r="AA31" s="15" t="str">
        <f t="shared" ca="1" si="11"/>
        <v>'ALL JOBS'!E8</v>
      </c>
      <c r="AB31" s="15" t="str">
        <f t="shared" ca="1" si="16"/>
        <v>'ALL JOBS'!F8</v>
      </c>
      <c r="AC31" s="15" t="str">
        <f t="shared" ca="1" si="12"/>
        <v>'ALL JOBS'!G8</v>
      </c>
      <c r="AD31" s="15" t="str">
        <f t="shared" ca="1" si="13"/>
        <v>'ALL JOBS'!D47</v>
      </c>
      <c r="AF31" s="15">
        <f t="shared" ca="1" si="44"/>
        <v>28</v>
      </c>
      <c r="AG31" s="15" t="str">
        <f t="shared" si="45"/>
        <v>'ALL JOBS'!D37</v>
      </c>
      <c r="AH31" s="15" t="str">
        <f t="shared" si="46"/>
        <v>'ALL JOBS'!F37</v>
      </c>
      <c r="AJ31" s="15" t="b">
        <f ca="1">(OR(INDIRECT(L31)=MAX('ALL JOBS'!A:A),AJ30))</f>
        <v>0</v>
      </c>
    </row>
    <row r="32" spans="1:36" ht="30" customHeight="1">
      <c r="A32" s="15">
        <f t="shared" ca="1" si="31"/>
        <v>0</v>
      </c>
      <c r="B32" s="12" t="str">
        <f t="shared" ca="1" si="32"/>
        <v xml:space="preserve"> TOTAL for jobs with priority up to</v>
      </c>
      <c r="C32" s="13">
        <f t="shared" ca="1" si="33"/>
        <v>0</v>
      </c>
      <c r="D32" s="13">
        <f t="shared" ca="1" si="34"/>
        <v>0</v>
      </c>
      <c r="E32" s="13">
        <f t="shared" ca="1" si="35"/>
        <v>3</v>
      </c>
      <c r="F32" s="14">
        <f t="shared" ca="1" si="36"/>
        <v>160</v>
      </c>
      <c r="G32" s="15" t="str">
        <f ca="1">IF($C$1="ALL",IF(INDIRECT(AH32)="","",IF(INDIRECT(AG32)&gt;MAX(Budget!$B$2,Budget!$E$2),"","Y")),IF(ISERR(FIND($C$1,INDIRECT(AH32))),"",IF(INDIRECT(AG32)&gt;MAX(Budget!$B$2,Budget!$E$2),"","Y")))</f>
        <v>Y</v>
      </c>
      <c r="H32" s="15">
        <f t="shared" si="37"/>
        <v>32</v>
      </c>
      <c r="I32" s="15">
        <f t="shared" ca="1" si="38"/>
        <v>68</v>
      </c>
      <c r="J32" s="15">
        <f t="shared" ca="1" si="39"/>
        <v>68</v>
      </c>
      <c r="K32" s="15" t="str">
        <f ca="1">CONCATENATE("G",J31+1,":I",'ALL JOBS'!$K$10)</f>
        <v>G42:I71</v>
      </c>
      <c r="L32" s="15" t="str">
        <f t="shared" ca="1" si="14"/>
        <v>'ALL JOBS'!A74</v>
      </c>
      <c r="M32" s="15" t="str">
        <f t="shared" ca="1" si="3"/>
        <v>'ALL JOBS'!B74</v>
      </c>
      <c r="N32" s="15" t="str">
        <f t="shared" ca="1" si="4"/>
        <v>'ALL JOBS'!D74</v>
      </c>
      <c r="O32" s="15" t="str">
        <f t="shared" ca="1" si="5"/>
        <v>'ALL JOBS'!E74</v>
      </c>
      <c r="P32" s="15" t="str">
        <f t="shared" ca="1" si="6"/>
        <v>'ALL JOBS'!F74</v>
      </c>
      <c r="Q32" s="15" t="str">
        <f t="shared" ca="1" si="7"/>
        <v>'ALL JOBS'!G74</v>
      </c>
      <c r="R32" s="15" t="str">
        <f t="shared" ca="1" si="8"/>
        <v>'ALL JOBS'!D74</v>
      </c>
      <c r="S32" s="13" t="str">
        <f t="shared" ca="1" si="40"/>
        <v>Y</v>
      </c>
      <c r="T32" s="16" t="str">
        <f>IF($C$1="ALL",IF('ALL JOBS'!F35="","",IF('ALL JOBS'!D35&lt;=Budget!$B$2,"","Y")),IF(ISERR(FIND($C$1,'ALL JOBS'!F35)),IF($E$1="","",IF(ISERR(FIND($E$1,'ALL JOBS'!F35)),"",IF('ALL JOBS'!D35&lt;=Budget!$B$2,"","Y"))),IF('ALL JOBS'!D35&lt;=Budget!$B$2,"","Y")))</f>
        <v/>
      </c>
      <c r="U32" s="15">
        <f t="shared" si="41"/>
        <v>32</v>
      </c>
      <c r="V32" s="15">
        <f t="shared" ca="1" si="42"/>
        <v>2</v>
      </c>
      <c r="W32" s="15" t="str">
        <f t="shared" ca="1" si="43"/>
        <v>T3:U72</v>
      </c>
      <c r="X32" s="15" t="str">
        <f t="shared" ca="1" si="15"/>
        <v>'ALL JOBS'!A8</v>
      </c>
      <c r="Y32" s="15" t="str">
        <f t="shared" ca="1" si="9"/>
        <v>'ALL JOBS'!B8</v>
      </c>
      <c r="Z32" s="15" t="str">
        <f t="shared" ca="1" si="10"/>
        <v>'ALL JOBS'!D8</v>
      </c>
      <c r="AA32" s="15" t="str">
        <f t="shared" ca="1" si="11"/>
        <v>'ALL JOBS'!E8</v>
      </c>
      <c r="AB32" s="15" t="str">
        <f t="shared" ca="1" si="16"/>
        <v>'ALL JOBS'!F8</v>
      </c>
      <c r="AC32" s="15" t="str">
        <f t="shared" ca="1" si="12"/>
        <v>'ALL JOBS'!G8</v>
      </c>
      <c r="AD32" s="15" t="str">
        <f t="shared" ca="1" si="13"/>
        <v>'ALL JOBS'!D74</v>
      </c>
      <c r="AF32" s="15">
        <f t="shared" ca="1" si="44"/>
        <v>29</v>
      </c>
      <c r="AG32" s="15" t="str">
        <f t="shared" si="45"/>
        <v>'ALL JOBS'!D38</v>
      </c>
      <c r="AH32" s="15" t="str">
        <f t="shared" si="46"/>
        <v>'ALL JOBS'!F38</v>
      </c>
      <c r="AJ32" s="15" t="b">
        <f ca="1">(OR(INDIRECT(L32)=MAX('ALL JOBS'!A:A),AJ31))</f>
        <v>0</v>
      </c>
    </row>
    <row r="33" spans="1:36" ht="30" customHeight="1">
      <c r="A33" s="15">
        <f t="shared" ca="1" si="31"/>
        <v>0</v>
      </c>
      <c r="B33" s="12" t="str">
        <f t="shared" ca="1" si="32"/>
        <v>TOTAL for all jobs  - priority up to</v>
      </c>
      <c r="C33" s="13">
        <f t="shared" ca="1" si="33"/>
        <v>0</v>
      </c>
      <c r="D33" s="13">
        <f t="shared" ca="1" si="34"/>
        <v>0</v>
      </c>
      <c r="E33" s="13">
        <f t="shared" ca="1" si="35"/>
        <v>5.9</v>
      </c>
      <c r="F33" s="14">
        <f t="shared" ca="1" si="36"/>
        <v>230</v>
      </c>
      <c r="G33" s="15" t="str">
        <f ca="1">IF($C$1="ALL",IF(INDIRECT(AH33)="","",IF(INDIRECT(AG33)&gt;MAX(Budget!$B$2,Budget!$E$2),"","Y")),IF(ISERR(FIND($C$1,INDIRECT(AH33))),"",IF(INDIRECT(AG33)&gt;MAX(Budget!$B$2,Budget!$E$2),"","Y")))</f>
        <v>Y</v>
      </c>
      <c r="H33" s="15">
        <f t="shared" si="37"/>
        <v>33</v>
      </c>
      <c r="I33" s="15">
        <f t="shared" ca="1" si="38"/>
        <v>69</v>
      </c>
      <c r="J33" s="15">
        <f t="shared" ca="1" si="39"/>
        <v>69</v>
      </c>
      <c r="K33" s="15" t="str">
        <f ca="1">CONCATENATE("G",J32+1,":I",'ALL JOBS'!$K$10)</f>
        <v>G69:I71</v>
      </c>
      <c r="L33" s="15" t="str">
        <f t="shared" ca="1" si="14"/>
        <v>'ALL JOBS'!A75</v>
      </c>
      <c r="M33" s="15" t="str">
        <f t="shared" ca="1" si="3"/>
        <v>'ALL JOBS'!B75</v>
      </c>
      <c r="N33" s="15" t="str">
        <f t="shared" ca="1" si="4"/>
        <v>'ALL JOBS'!D75</v>
      </c>
      <c r="O33" s="15" t="str">
        <f t="shared" ca="1" si="5"/>
        <v>'ALL JOBS'!E75</v>
      </c>
      <c r="P33" s="15" t="str">
        <f t="shared" ca="1" si="6"/>
        <v>'ALL JOBS'!F75</v>
      </c>
      <c r="Q33" s="15" t="str">
        <f t="shared" ca="1" si="7"/>
        <v>'ALL JOBS'!G75</v>
      </c>
      <c r="R33" s="15" t="str">
        <f t="shared" ca="1" si="8"/>
        <v>'ALL JOBS'!D75</v>
      </c>
      <c r="S33" s="13" t="str">
        <f t="shared" ca="1" si="40"/>
        <v>Y</v>
      </c>
      <c r="T33" s="16" t="str">
        <f>IF($C$1="ALL",IF('ALL JOBS'!F36="","",IF('ALL JOBS'!D36&lt;=Budget!$B$2,"","Y")),IF(ISERR(FIND($C$1,'ALL JOBS'!F36)),IF($E$1="","",IF(ISERR(FIND($E$1,'ALL JOBS'!F36)),"",IF('ALL JOBS'!D36&lt;=Budget!$B$2,"","Y"))),IF('ALL JOBS'!D36&lt;=Budget!$B$2,"","Y")))</f>
        <v/>
      </c>
      <c r="U33" s="15">
        <f t="shared" si="41"/>
        <v>33</v>
      </c>
      <c r="V33" s="15">
        <f t="shared" ca="1" si="42"/>
        <v>2</v>
      </c>
      <c r="W33" s="15" t="str">
        <f t="shared" ca="1" si="43"/>
        <v>T3:U72</v>
      </c>
      <c r="X33" s="15" t="str">
        <f t="shared" ca="1" si="15"/>
        <v>'ALL JOBS'!A8</v>
      </c>
      <c r="Y33" s="15" t="str">
        <f t="shared" ca="1" si="9"/>
        <v>'ALL JOBS'!B8</v>
      </c>
      <c r="Z33" s="15" t="str">
        <f t="shared" ca="1" si="10"/>
        <v>'ALL JOBS'!D8</v>
      </c>
      <c r="AA33" s="15" t="str">
        <f t="shared" ca="1" si="11"/>
        <v>'ALL JOBS'!E8</v>
      </c>
      <c r="AB33" s="15" t="str">
        <f t="shared" ca="1" si="16"/>
        <v>'ALL JOBS'!F8</v>
      </c>
      <c r="AC33" s="15" t="str">
        <f t="shared" ca="1" si="12"/>
        <v>'ALL JOBS'!G8</v>
      </c>
      <c r="AD33" s="15" t="str">
        <f t="shared" ca="1" si="13"/>
        <v>'ALL JOBS'!D75</v>
      </c>
      <c r="AF33" s="15">
        <f t="shared" ca="1" si="44"/>
        <v>30</v>
      </c>
      <c r="AG33" s="15" t="str">
        <f t="shared" si="45"/>
        <v>'ALL JOBS'!D39</v>
      </c>
      <c r="AH33" s="15" t="str">
        <f t="shared" si="46"/>
        <v>'ALL JOBS'!F39</v>
      </c>
      <c r="AJ33" s="15" t="b">
        <f ca="1">(OR(INDIRECT(L33)=MAX('ALL JOBS'!A:A),AJ32))</f>
        <v>0</v>
      </c>
    </row>
    <row r="34" spans="1:36" ht="30" customHeight="1">
      <c r="A34" s="15">
        <f t="shared" ca="1" si="31"/>
        <v>0</v>
      </c>
      <c r="B34" s="12" t="str">
        <f t="shared" ca="1" si="32"/>
        <v>ADDITIONAL COST  for jobs of up to priority</v>
      </c>
      <c r="C34" s="13">
        <f t="shared" ca="1" si="33"/>
        <v>0</v>
      </c>
      <c r="D34" s="13">
        <f t="shared" ca="1" si="34"/>
        <v>0</v>
      </c>
      <c r="E34" s="13">
        <f t="shared" ca="1" si="35"/>
        <v>6</v>
      </c>
      <c r="F34" s="14">
        <f t="shared" ca="1" si="36"/>
        <v>70</v>
      </c>
      <c r="G34" s="15" t="str">
        <f ca="1">IF($C$1="ALL",IF(INDIRECT(AH34)="","",IF(INDIRECT(AG34)&gt;MAX(Budget!$B$2,Budget!$E$2),"","Y")),IF(ISERR(FIND($C$1,INDIRECT(AH34))),"",IF(INDIRECT(AG34)&gt;MAX(Budget!$B$2,Budget!$E$2),"","Y")))</f>
        <v/>
      </c>
      <c r="H34" s="15">
        <f t="shared" si="37"/>
        <v>34</v>
      </c>
      <c r="I34" s="15">
        <f t="shared" ca="1" si="38"/>
        <v>70</v>
      </c>
      <c r="J34" s="15">
        <f t="shared" ca="1" si="39"/>
        <v>70</v>
      </c>
      <c r="K34" s="15" t="str">
        <f ca="1">CONCATENATE("G",J33+1,":I",'ALL JOBS'!$K$10)</f>
        <v>G70:I71</v>
      </c>
      <c r="L34" s="15" t="str">
        <f t="shared" ca="1" si="14"/>
        <v>'ALL JOBS'!A76</v>
      </c>
      <c r="M34" s="15" t="str">
        <f t="shared" ca="1" si="3"/>
        <v>'ALL JOBS'!B76</v>
      </c>
      <c r="N34" s="15" t="str">
        <f t="shared" ca="1" si="4"/>
        <v>'ALL JOBS'!D76</v>
      </c>
      <c r="O34" s="15" t="str">
        <f t="shared" ca="1" si="5"/>
        <v>'ALL JOBS'!E76</v>
      </c>
      <c r="P34" s="15" t="str">
        <f t="shared" ca="1" si="6"/>
        <v>'ALL JOBS'!F76</v>
      </c>
      <c r="Q34" s="15" t="str">
        <f t="shared" ca="1" si="7"/>
        <v>'ALL JOBS'!G76</v>
      </c>
      <c r="R34" s="15" t="str">
        <f t="shared" ca="1" si="8"/>
        <v>'ALL JOBS'!D76</v>
      </c>
      <c r="S34" s="13" t="str">
        <f t="shared" ca="1" si="40"/>
        <v>Y</v>
      </c>
      <c r="T34" s="16" t="str">
        <f>IF($C$1="ALL",IF('ALL JOBS'!F37="","",IF('ALL JOBS'!D37&lt;=Budget!$B$2,"","Y")),IF(ISERR(FIND($C$1,'ALL JOBS'!F37)),IF($E$1="","",IF(ISERR(FIND($E$1,'ALL JOBS'!F37)),"",IF('ALL JOBS'!D37&lt;=Budget!$B$2,"","Y"))),IF('ALL JOBS'!D37&lt;=Budget!$B$2,"","Y")))</f>
        <v/>
      </c>
      <c r="U34" s="15">
        <f t="shared" si="41"/>
        <v>34</v>
      </c>
      <c r="V34" s="15">
        <f t="shared" ca="1" si="42"/>
        <v>2</v>
      </c>
      <c r="W34" s="15" t="str">
        <f t="shared" ca="1" si="43"/>
        <v>T3:U72</v>
      </c>
      <c r="X34" s="15" t="str">
        <f t="shared" ca="1" si="15"/>
        <v>'ALL JOBS'!A8</v>
      </c>
      <c r="Y34" s="15" t="str">
        <f t="shared" ca="1" si="9"/>
        <v>'ALL JOBS'!B8</v>
      </c>
      <c r="Z34" s="15" t="str">
        <f t="shared" ca="1" si="10"/>
        <v>'ALL JOBS'!D8</v>
      </c>
      <c r="AA34" s="15" t="str">
        <f t="shared" ca="1" si="11"/>
        <v>'ALL JOBS'!E8</v>
      </c>
      <c r="AB34" s="15" t="str">
        <f t="shared" ca="1" si="16"/>
        <v>'ALL JOBS'!F8</v>
      </c>
      <c r="AC34" s="15" t="str">
        <f t="shared" ca="1" si="12"/>
        <v>'ALL JOBS'!G8</v>
      </c>
      <c r="AD34" s="15" t="str">
        <f t="shared" ca="1" si="13"/>
        <v>'ALL JOBS'!D76</v>
      </c>
      <c r="AF34" s="15">
        <f t="shared" ca="1" si="44"/>
        <v>31</v>
      </c>
      <c r="AG34" s="15" t="str">
        <f t="shared" si="45"/>
        <v>'ALL JOBS'!D40</v>
      </c>
      <c r="AH34" s="15" t="str">
        <f t="shared" si="46"/>
        <v>'ALL JOBS'!F40</v>
      </c>
      <c r="AJ34" s="15" t="b">
        <f ca="1">(OR(INDIRECT(L34)=MAX('ALL JOBS'!A:A),AJ33))</f>
        <v>0</v>
      </c>
    </row>
    <row r="35" spans="1:36" ht="30" customHeight="1">
      <c r="A35" s="15" t="str">
        <f t="shared" ca="1" si="31"/>
        <v/>
      </c>
      <c r="B35" s="12" t="str">
        <f t="shared" ca="1" si="32"/>
        <v/>
      </c>
      <c r="C35" s="13" t="str">
        <f t="shared" ca="1" si="33"/>
        <v/>
      </c>
      <c r="D35" s="13" t="str">
        <f t="shared" ca="1" si="34"/>
        <v/>
      </c>
      <c r="E35" s="13" t="str">
        <f t="shared" ca="1" si="35"/>
        <v/>
      </c>
      <c r="F35" s="14" t="str">
        <f t="shared" ca="1" si="36"/>
        <v/>
      </c>
      <c r="G35" s="15" t="str">
        <f ca="1">IF($C$1="ALL",IF(INDIRECT(AH35)="","",IF(INDIRECT(AG35)&gt;MAX(Budget!$B$2,Budget!$E$2),"","Y")),IF(ISERR(FIND($C$1,INDIRECT(AH35))),"",IF(INDIRECT(AG35)&gt;MAX(Budget!$B$2,Budget!$E$2),"","Y")))</f>
        <v/>
      </c>
      <c r="H35" s="15">
        <f t="shared" si="37"/>
        <v>35</v>
      </c>
      <c r="I35" s="15" t="e">
        <f t="shared" ca="1" si="38"/>
        <v>#N/A</v>
      </c>
      <c r="J35" s="15" t="e">
        <f t="shared" ca="1" si="39"/>
        <v>#N/A</v>
      </c>
      <c r="K35" s="15" t="str">
        <f ca="1">CONCATENATE("G",J34+1,":I",'ALL JOBS'!$K$10)</f>
        <v>G71:I71</v>
      </c>
      <c r="L35" s="15" t="e">
        <f t="shared" ca="1" si="14"/>
        <v>#N/A</v>
      </c>
      <c r="M35" s="15" t="e">
        <f t="shared" ca="1" si="3"/>
        <v>#N/A</v>
      </c>
      <c r="N35" s="15" t="e">
        <f t="shared" ca="1" si="4"/>
        <v>#N/A</v>
      </c>
      <c r="O35" s="15" t="e">
        <f t="shared" ca="1" si="5"/>
        <v>#N/A</v>
      </c>
      <c r="P35" s="15" t="e">
        <f t="shared" ca="1" si="6"/>
        <v>#N/A</v>
      </c>
      <c r="Q35" s="15" t="e">
        <f t="shared" ca="1" si="7"/>
        <v>#N/A</v>
      </c>
      <c r="R35" s="15" t="e">
        <f t="shared" ca="1" si="8"/>
        <v>#N/A</v>
      </c>
      <c r="S35" s="13" t="str">
        <f t="shared" ca="1" si="40"/>
        <v/>
      </c>
      <c r="T35" s="16" t="str">
        <f>IF($C$1="ALL",IF('ALL JOBS'!F41="","",IF('ALL JOBS'!D41&lt;=Budget!$B$2,"","Y")),IF(ISERR(FIND($C$1,'ALL JOBS'!F41)),IF($E$1="","",IF(ISERR(FIND($E$1,'ALL JOBS'!F41)),"",IF('ALL JOBS'!D41&lt;=Budget!$B$2,"","Y"))),IF('ALL JOBS'!D41&lt;=Budget!$B$2,"","Y")))</f>
        <v/>
      </c>
      <c r="U35" s="15">
        <f t="shared" si="41"/>
        <v>35</v>
      </c>
      <c r="V35" s="15">
        <f t="shared" ca="1" si="42"/>
        <v>2</v>
      </c>
      <c r="W35" s="15" t="str">
        <f t="shared" ca="1" si="43"/>
        <v>T3:U72</v>
      </c>
      <c r="X35" s="15" t="str">
        <f t="shared" ca="1" si="15"/>
        <v>'ALL JOBS'!A8</v>
      </c>
      <c r="Y35" s="15" t="str">
        <f t="shared" ca="1" si="9"/>
        <v>'ALL JOBS'!B8</v>
      </c>
      <c r="Z35" s="15" t="str">
        <f t="shared" ca="1" si="10"/>
        <v>'ALL JOBS'!D8</v>
      </c>
      <c r="AA35" s="15" t="str">
        <f t="shared" ca="1" si="11"/>
        <v>'ALL JOBS'!E8</v>
      </c>
      <c r="AB35" s="15" t="str">
        <f t="shared" ca="1" si="16"/>
        <v>'ALL JOBS'!F8</v>
      </c>
      <c r="AC35" s="15" t="str">
        <f t="shared" ca="1" si="12"/>
        <v>'ALL JOBS'!G8</v>
      </c>
      <c r="AD35" s="15" t="e">
        <f t="shared" ca="1" si="13"/>
        <v>#N/A</v>
      </c>
      <c r="AF35" s="15" t="str">
        <f t="shared" ca="1" si="44"/>
        <v/>
      </c>
      <c r="AG35" s="15" t="str">
        <f t="shared" si="45"/>
        <v>'ALL JOBS'!D41</v>
      </c>
      <c r="AH35" s="15" t="str">
        <f t="shared" si="46"/>
        <v>'ALL JOBS'!F41</v>
      </c>
      <c r="AJ35" s="15" t="e">
        <f ca="1">(OR(INDIRECT(L35)=MAX('ALL JOBS'!A:A),AJ34))</f>
        <v>#N/A</v>
      </c>
    </row>
    <row r="36" spans="1:36" ht="30" customHeight="1">
      <c r="A36" s="15" t="str">
        <f t="shared" ca="1" si="31"/>
        <v/>
      </c>
      <c r="B36" s="12" t="str">
        <f t="shared" ca="1" si="32"/>
        <v/>
      </c>
      <c r="C36" s="13" t="str">
        <f t="shared" ca="1" si="33"/>
        <v/>
      </c>
      <c r="D36" s="13" t="str">
        <f t="shared" ca="1" si="34"/>
        <v/>
      </c>
      <c r="E36" s="13" t="str">
        <f t="shared" ca="1" si="35"/>
        <v/>
      </c>
      <c r="F36" s="14" t="str">
        <f t="shared" ca="1" si="36"/>
        <v/>
      </c>
      <c r="G36" s="15" t="str">
        <f ca="1">IF($C$1="ALL",IF(INDIRECT(AH36)="","",IF(INDIRECT(AG36)&gt;MAX(Budget!$B$2,Budget!$E$2),"","Y")),IF(ISERR(FIND($C$1,INDIRECT(AH36))),"",IF(INDIRECT(AG36)&gt;MAX(Budget!$B$2,Budget!$E$2),"","Y")))</f>
        <v>Y</v>
      </c>
      <c r="H36" s="15">
        <f t="shared" si="37"/>
        <v>36</v>
      </c>
      <c r="I36" s="15" t="e">
        <f t="shared" ca="1" si="38"/>
        <v>#N/A</v>
      </c>
      <c r="J36" s="15" t="e">
        <f t="shared" ca="1" si="39"/>
        <v>#N/A</v>
      </c>
      <c r="K36" s="15" t="e">
        <f ca="1">CONCATENATE("G",J35+1,":I",'ALL JOBS'!$K$10)</f>
        <v>#N/A</v>
      </c>
      <c r="L36" s="15" t="e">
        <f t="shared" ca="1" si="14"/>
        <v>#N/A</v>
      </c>
      <c r="M36" s="15" t="e">
        <f t="shared" ca="1" si="3"/>
        <v>#N/A</v>
      </c>
      <c r="N36" s="15" t="e">
        <f t="shared" ca="1" si="4"/>
        <v>#N/A</v>
      </c>
      <c r="O36" s="15" t="e">
        <f t="shared" ca="1" si="5"/>
        <v>#N/A</v>
      </c>
      <c r="P36" s="15" t="e">
        <f t="shared" ca="1" si="6"/>
        <v>#N/A</v>
      </c>
      <c r="Q36" s="15" t="e">
        <f t="shared" ca="1" si="7"/>
        <v>#N/A</v>
      </c>
      <c r="R36" s="15" t="e">
        <f t="shared" ca="1" si="8"/>
        <v>#N/A</v>
      </c>
      <c r="S36" s="13" t="str">
        <f t="shared" ca="1" si="40"/>
        <v/>
      </c>
      <c r="T36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36" s="15">
        <f t="shared" si="41"/>
        <v>36</v>
      </c>
      <c r="V36" s="15">
        <f t="shared" ca="1" si="42"/>
        <v>2</v>
      </c>
      <c r="W36" s="15" t="str">
        <f t="shared" ca="1" si="43"/>
        <v>T3:U72</v>
      </c>
      <c r="X36" s="15" t="str">
        <f t="shared" ca="1" si="15"/>
        <v>'ALL JOBS'!A8</v>
      </c>
      <c r="Y36" s="15" t="str">
        <f t="shared" ca="1" si="9"/>
        <v>'ALL JOBS'!B8</v>
      </c>
      <c r="Z36" s="15" t="str">
        <f t="shared" ca="1" si="10"/>
        <v>'ALL JOBS'!D8</v>
      </c>
      <c r="AA36" s="15" t="str">
        <f t="shared" ca="1" si="11"/>
        <v>'ALL JOBS'!E8</v>
      </c>
      <c r="AB36" s="15" t="str">
        <f t="shared" ca="1" si="16"/>
        <v>'ALL JOBS'!F8</v>
      </c>
      <c r="AC36" s="15" t="str">
        <f t="shared" ca="1" si="12"/>
        <v>'ALL JOBS'!G8</v>
      </c>
      <c r="AD36" s="15" t="e">
        <f t="shared" ca="1" si="13"/>
        <v>#N/A</v>
      </c>
      <c r="AF36" s="15" t="str">
        <f t="shared" ca="1" si="44"/>
        <v/>
      </c>
      <c r="AG36" s="15" t="str">
        <f t="shared" si="45"/>
        <v>'ALL JOBS'!D42</v>
      </c>
      <c r="AH36" s="15" t="str">
        <f t="shared" si="46"/>
        <v>'ALL JOBS'!F42</v>
      </c>
      <c r="AJ36" s="15" t="e">
        <f ca="1">(OR(INDIRECT(L36)=MAX('ALL JOBS'!A:A),AJ35))</f>
        <v>#N/A</v>
      </c>
    </row>
    <row r="37" spans="1:36" ht="30" customHeight="1">
      <c r="A37" s="15" t="str">
        <f t="shared" ca="1" si="31"/>
        <v/>
      </c>
      <c r="B37" s="12" t="str">
        <f t="shared" ca="1" si="32"/>
        <v/>
      </c>
      <c r="C37" s="13" t="str">
        <f t="shared" ca="1" si="33"/>
        <v/>
      </c>
      <c r="D37" s="13" t="str">
        <f t="shared" ca="1" si="34"/>
        <v/>
      </c>
      <c r="E37" s="13" t="str">
        <f t="shared" ca="1" si="35"/>
        <v/>
      </c>
      <c r="F37" s="14" t="str">
        <f t="shared" ca="1" si="36"/>
        <v/>
      </c>
      <c r="G37" s="15" t="str">
        <f ca="1">IF($C$1="ALL",IF(INDIRECT(AH37)="","",IF(INDIRECT(AG37)&gt;MAX(Budget!$B$2,Budget!$E$2),"","Y")),IF(ISERR(FIND($C$1,INDIRECT(AH37))),"",IF(INDIRECT(AG37)&gt;MAX(Budget!$B$2,Budget!$E$2),"","Y")))</f>
        <v/>
      </c>
      <c r="H37" s="15">
        <f t="shared" si="37"/>
        <v>37</v>
      </c>
      <c r="I37" s="15" t="e">
        <f t="shared" ca="1" si="38"/>
        <v>#N/A</v>
      </c>
      <c r="J37" s="15" t="e">
        <f t="shared" ca="1" si="39"/>
        <v>#N/A</v>
      </c>
      <c r="K37" s="15" t="e">
        <f ca="1">CONCATENATE("G",J36+1,":I",'ALL JOBS'!$K$10)</f>
        <v>#N/A</v>
      </c>
      <c r="L37" s="15" t="e">
        <f t="shared" ca="1" si="14"/>
        <v>#N/A</v>
      </c>
      <c r="M37" s="15" t="e">
        <f t="shared" ca="1" si="3"/>
        <v>#N/A</v>
      </c>
      <c r="N37" s="15" t="e">
        <f t="shared" ca="1" si="4"/>
        <v>#N/A</v>
      </c>
      <c r="O37" s="15" t="e">
        <f t="shared" ca="1" si="5"/>
        <v>#N/A</v>
      </c>
      <c r="P37" s="15" t="e">
        <f t="shared" ca="1" si="6"/>
        <v>#N/A</v>
      </c>
      <c r="Q37" s="15" t="e">
        <f t="shared" ca="1" si="7"/>
        <v>#N/A</v>
      </c>
      <c r="R37" s="15" t="e">
        <f t="shared" ca="1" si="8"/>
        <v>#N/A</v>
      </c>
      <c r="S37" s="13" t="str">
        <f t="shared" ca="1" si="40"/>
        <v/>
      </c>
      <c r="T37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37" s="15">
        <f t="shared" si="41"/>
        <v>37</v>
      </c>
      <c r="V37" s="15">
        <f t="shared" ca="1" si="42"/>
        <v>2</v>
      </c>
      <c r="W37" s="15" t="str">
        <f t="shared" ca="1" si="43"/>
        <v>T3:U72</v>
      </c>
      <c r="X37" s="15" t="str">
        <f t="shared" ca="1" si="15"/>
        <v>'ALL JOBS'!A8</v>
      </c>
      <c r="Y37" s="15" t="str">
        <f t="shared" ca="1" si="9"/>
        <v>'ALL JOBS'!B8</v>
      </c>
      <c r="Z37" s="15" t="str">
        <f t="shared" ca="1" si="10"/>
        <v>'ALL JOBS'!D8</v>
      </c>
      <c r="AA37" s="15" t="str">
        <f t="shared" ca="1" si="11"/>
        <v>'ALL JOBS'!E8</v>
      </c>
      <c r="AB37" s="15" t="str">
        <f t="shared" ca="1" si="16"/>
        <v>'ALL JOBS'!F8</v>
      </c>
      <c r="AC37" s="15" t="str">
        <f t="shared" ca="1" si="12"/>
        <v>'ALL JOBS'!G8</v>
      </c>
      <c r="AD37" s="15" t="e">
        <f t="shared" ca="1" si="13"/>
        <v>#N/A</v>
      </c>
      <c r="AF37" s="15" t="str">
        <f t="shared" ca="1" si="44"/>
        <v/>
      </c>
      <c r="AG37" s="15" t="str">
        <f t="shared" si="45"/>
        <v>'ALL JOBS'!D43</v>
      </c>
      <c r="AH37" s="15" t="str">
        <f t="shared" si="46"/>
        <v>'ALL JOBS'!F43</v>
      </c>
      <c r="AJ37" s="15" t="e">
        <f ca="1">(OR(INDIRECT(L37)=MAX('ALL JOBS'!A:A),AJ36))</f>
        <v>#N/A</v>
      </c>
    </row>
    <row r="38" spans="1:36" ht="30" customHeight="1">
      <c r="A38" s="15" t="str">
        <f t="shared" ca="1" si="31"/>
        <v/>
      </c>
      <c r="B38" s="12" t="str">
        <f t="shared" ca="1" si="32"/>
        <v/>
      </c>
      <c r="C38" s="13" t="str">
        <f t="shared" ca="1" si="33"/>
        <v/>
      </c>
      <c r="D38" s="13" t="str">
        <f t="shared" ca="1" si="34"/>
        <v/>
      </c>
      <c r="E38" s="13" t="str">
        <f t="shared" ca="1" si="35"/>
        <v/>
      </c>
      <c r="F38" s="14" t="str">
        <f t="shared" ca="1" si="36"/>
        <v/>
      </c>
      <c r="G38" s="15" t="str">
        <f ca="1">IF($C$1="ALL",IF(INDIRECT(AH38)="","",IF(INDIRECT(AG38)&gt;MAX(Budget!$B$2,Budget!$E$2),"","Y")),IF(ISERR(FIND($C$1,INDIRECT(AH38))),"",IF(INDIRECT(AG38)&gt;MAX(Budget!$B$2,Budget!$E$2),"","Y")))</f>
        <v>Y</v>
      </c>
      <c r="H38" s="15">
        <f t="shared" si="37"/>
        <v>38</v>
      </c>
      <c r="I38" s="15" t="e">
        <f t="shared" ca="1" si="38"/>
        <v>#N/A</v>
      </c>
      <c r="J38" s="15" t="e">
        <f t="shared" ca="1" si="39"/>
        <v>#N/A</v>
      </c>
      <c r="K38" s="15" t="e">
        <f ca="1">CONCATENATE("G",J37+1,":I",'ALL JOBS'!$K$10)</f>
        <v>#N/A</v>
      </c>
      <c r="L38" s="15" t="e">
        <f t="shared" ca="1" si="14"/>
        <v>#N/A</v>
      </c>
      <c r="M38" s="15" t="e">
        <f t="shared" ca="1" si="3"/>
        <v>#N/A</v>
      </c>
      <c r="N38" s="15" t="e">
        <f t="shared" ca="1" si="4"/>
        <v>#N/A</v>
      </c>
      <c r="O38" s="15" t="e">
        <f t="shared" ca="1" si="5"/>
        <v>#N/A</v>
      </c>
      <c r="P38" s="15" t="e">
        <f t="shared" ca="1" si="6"/>
        <v>#N/A</v>
      </c>
      <c r="Q38" s="15" t="e">
        <f t="shared" ca="1" si="7"/>
        <v>#N/A</v>
      </c>
      <c r="R38" s="15" t="e">
        <f t="shared" ca="1" si="8"/>
        <v>#N/A</v>
      </c>
      <c r="S38" s="13" t="str">
        <f t="shared" ca="1" si="40"/>
        <v/>
      </c>
      <c r="T38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38" s="15">
        <f t="shared" si="41"/>
        <v>38</v>
      </c>
      <c r="V38" s="15">
        <f t="shared" ca="1" si="42"/>
        <v>24</v>
      </c>
      <c r="W38" s="15" t="str">
        <f t="shared" ca="1" si="43"/>
        <v>T3:U72</v>
      </c>
      <c r="X38" s="15" t="str">
        <f t="shared" ca="1" si="15"/>
        <v>'ALL JOBS'!A30</v>
      </c>
      <c r="Y38" s="15" t="str">
        <f t="shared" ca="1" si="9"/>
        <v>'ALL JOBS'!B30</v>
      </c>
      <c r="Z38" s="15" t="str">
        <f t="shared" ca="1" si="10"/>
        <v>'ALL JOBS'!D30</v>
      </c>
      <c r="AA38" s="15" t="str">
        <f t="shared" ca="1" si="11"/>
        <v>'ALL JOBS'!E30</v>
      </c>
      <c r="AB38" s="15" t="str">
        <f t="shared" ca="1" si="16"/>
        <v>'ALL JOBS'!F30</v>
      </c>
      <c r="AC38" s="15" t="str">
        <f t="shared" ca="1" si="12"/>
        <v>'ALL JOBS'!G30</v>
      </c>
      <c r="AD38" s="15" t="e">
        <f t="shared" ca="1" si="13"/>
        <v>#N/A</v>
      </c>
      <c r="AF38" s="15" t="str">
        <f t="shared" ca="1" si="44"/>
        <v/>
      </c>
      <c r="AG38" s="15" t="str">
        <f t="shared" si="45"/>
        <v>'ALL JOBS'!D44</v>
      </c>
      <c r="AH38" s="15" t="str">
        <f t="shared" si="46"/>
        <v>'ALL JOBS'!F44</v>
      </c>
      <c r="AJ38" s="15" t="e">
        <f ca="1">(OR(INDIRECT(L38)=MAX('ALL JOBS'!A:A),AJ37))</f>
        <v>#N/A</v>
      </c>
    </row>
    <row r="39" spans="1:36" ht="30" customHeight="1">
      <c r="A39" s="15" t="str">
        <f t="shared" ca="1" si="31"/>
        <v/>
      </c>
      <c r="B39" s="12" t="str">
        <f t="shared" ca="1" si="32"/>
        <v/>
      </c>
      <c r="C39" s="13" t="str">
        <f t="shared" ca="1" si="33"/>
        <v/>
      </c>
      <c r="D39" s="13" t="str">
        <f t="shared" ca="1" si="34"/>
        <v/>
      </c>
      <c r="E39" s="13" t="str">
        <f t="shared" ca="1" si="35"/>
        <v/>
      </c>
      <c r="F39" s="14" t="str">
        <f t="shared" ca="1" si="36"/>
        <v/>
      </c>
      <c r="G39" s="15" t="str">
        <f ca="1">IF($C$1="ALL",IF(INDIRECT(AH39)="","",IF(INDIRECT(AG39)&gt;MAX(Budget!$B$2,Budget!$E$2),"","Y")),IF(ISERR(FIND($C$1,INDIRECT(AH39))),"",IF(INDIRECT(AG39)&gt;MAX(Budget!$B$2,Budget!$E$2),"","Y")))</f>
        <v/>
      </c>
      <c r="H39" s="15">
        <f t="shared" si="37"/>
        <v>39</v>
      </c>
      <c r="I39" s="15" t="e">
        <f t="shared" ca="1" si="38"/>
        <v>#N/A</v>
      </c>
      <c r="J39" s="15" t="e">
        <f t="shared" ca="1" si="39"/>
        <v>#N/A</v>
      </c>
      <c r="K39" s="15" t="e">
        <f ca="1">CONCATENATE("G",J38+1,":I",'ALL JOBS'!$K$10)</f>
        <v>#N/A</v>
      </c>
      <c r="L39" s="15" t="e">
        <f t="shared" ca="1" si="14"/>
        <v>#N/A</v>
      </c>
      <c r="M39" s="15" t="e">
        <f t="shared" ca="1" si="3"/>
        <v>#N/A</v>
      </c>
      <c r="N39" s="15" t="e">
        <f t="shared" ca="1" si="4"/>
        <v>#N/A</v>
      </c>
      <c r="O39" s="15" t="e">
        <f t="shared" ca="1" si="5"/>
        <v>#N/A</v>
      </c>
      <c r="P39" s="15" t="e">
        <f t="shared" ca="1" si="6"/>
        <v>#N/A</v>
      </c>
      <c r="Q39" s="15" t="e">
        <f t="shared" ca="1" si="7"/>
        <v>#N/A</v>
      </c>
      <c r="R39" s="15" t="e">
        <f t="shared" ca="1" si="8"/>
        <v>#N/A</v>
      </c>
      <c r="S39" s="13" t="str">
        <f t="shared" ca="1" si="40"/>
        <v/>
      </c>
      <c r="T39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39" s="15">
        <f t="shared" si="41"/>
        <v>39</v>
      </c>
      <c r="V39" s="15">
        <f t="shared" ca="1" si="42"/>
        <v>27</v>
      </c>
      <c r="W39" s="15" t="str">
        <f t="shared" ca="1" si="43"/>
        <v>T25:U72</v>
      </c>
      <c r="X39" s="15" t="str">
        <f t="shared" ca="1" si="15"/>
        <v>'ALL JOBS'!A33</v>
      </c>
      <c r="Y39" s="15" t="str">
        <f t="shared" ca="1" si="9"/>
        <v>'ALL JOBS'!B33</v>
      </c>
      <c r="Z39" s="15" t="str">
        <f t="shared" ca="1" si="10"/>
        <v>'ALL JOBS'!D33</v>
      </c>
      <c r="AA39" s="15" t="str">
        <f t="shared" ca="1" si="11"/>
        <v>'ALL JOBS'!E33</v>
      </c>
      <c r="AB39" s="15" t="str">
        <f t="shared" ca="1" si="16"/>
        <v>'ALL JOBS'!F33</v>
      </c>
      <c r="AC39" s="15" t="str">
        <f t="shared" ca="1" si="12"/>
        <v>'ALL JOBS'!G33</v>
      </c>
      <c r="AD39" s="15" t="e">
        <f t="shared" ca="1" si="13"/>
        <v>#N/A</v>
      </c>
      <c r="AF39" s="15" t="str">
        <f t="shared" ca="1" si="44"/>
        <v/>
      </c>
      <c r="AG39" s="15" t="str">
        <f t="shared" si="45"/>
        <v>'ALL JOBS'!D45</v>
      </c>
      <c r="AH39" s="15" t="str">
        <f t="shared" si="46"/>
        <v>'ALL JOBS'!F45</v>
      </c>
      <c r="AJ39" s="15" t="e">
        <f ca="1">(OR(INDIRECT(L39)=MAX('ALL JOBS'!A:A),AJ38))</f>
        <v>#N/A</v>
      </c>
    </row>
    <row r="40" spans="1:36" ht="30" customHeight="1">
      <c r="A40" s="15" t="str">
        <f t="shared" ca="1" si="31"/>
        <v/>
      </c>
      <c r="B40" s="12" t="str">
        <f t="shared" ca="1" si="32"/>
        <v/>
      </c>
      <c r="C40" s="13" t="str">
        <f t="shared" ca="1" si="33"/>
        <v/>
      </c>
      <c r="D40" s="13" t="str">
        <f t="shared" ca="1" si="34"/>
        <v/>
      </c>
      <c r="E40" s="13" t="str">
        <f t="shared" ca="1" si="35"/>
        <v/>
      </c>
      <c r="F40" s="14" t="str">
        <f t="shared" ca="1" si="36"/>
        <v/>
      </c>
      <c r="G40" s="15" t="str">
        <f ca="1">IF($C$1="ALL",IF(INDIRECT(AH40)="","",IF(INDIRECT(AG40)&gt;MAX(Budget!$B$2,Budget!$E$2),"","Y")),IF(ISERR(FIND($C$1,INDIRECT(AH40))),"",IF(INDIRECT(AG40)&gt;MAX(Budget!$B$2,Budget!$E$2),"","Y")))</f>
        <v/>
      </c>
      <c r="H40" s="15">
        <f t="shared" si="37"/>
        <v>40</v>
      </c>
      <c r="I40" s="15" t="e">
        <f t="shared" ca="1" si="38"/>
        <v>#N/A</v>
      </c>
      <c r="J40" s="15" t="e">
        <f t="shared" ca="1" si="39"/>
        <v>#N/A</v>
      </c>
      <c r="K40" s="15" t="e">
        <f ca="1">CONCATENATE("G",J39+1,":I",'ALL JOBS'!$K$10)</f>
        <v>#N/A</v>
      </c>
      <c r="L40" s="15" t="e">
        <f t="shared" ca="1" si="14"/>
        <v>#N/A</v>
      </c>
      <c r="M40" s="15" t="e">
        <f t="shared" ca="1" si="3"/>
        <v>#N/A</v>
      </c>
      <c r="N40" s="15" t="e">
        <f t="shared" ca="1" si="4"/>
        <v>#N/A</v>
      </c>
      <c r="O40" s="15" t="e">
        <f t="shared" ca="1" si="5"/>
        <v>#N/A</v>
      </c>
      <c r="P40" s="15" t="e">
        <f t="shared" ca="1" si="6"/>
        <v>#N/A</v>
      </c>
      <c r="Q40" s="15" t="e">
        <f t="shared" ca="1" si="7"/>
        <v>#N/A</v>
      </c>
      <c r="R40" s="15" t="e">
        <f t="shared" ca="1" si="8"/>
        <v>#N/A</v>
      </c>
      <c r="S40" s="13" t="str">
        <f t="shared" ca="1" si="40"/>
        <v/>
      </c>
      <c r="T40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40" s="15">
        <f t="shared" si="41"/>
        <v>40</v>
      </c>
      <c r="V40" s="15">
        <f t="shared" ca="1" si="42"/>
        <v>30</v>
      </c>
      <c r="W40" s="15" t="str">
        <f t="shared" ca="1" si="43"/>
        <v>T28:U72</v>
      </c>
      <c r="X40" s="15" t="str">
        <f t="shared" ca="1" si="15"/>
        <v>'ALL JOBS'!A36</v>
      </c>
      <c r="Y40" s="15" t="str">
        <f t="shared" ca="1" si="9"/>
        <v>'ALL JOBS'!B36</v>
      </c>
      <c r="Z40" s="15" t="str">
        <f t="shared" ca="1" si="10"/>
        <v>'ALL JOBS'!D36</v>
      </c>
      <c r="AA40" s="15" t="str">
        <f t="shared" ca="1" si="11"/>
        <v>'ALL JOBS'!E36</v>
      </c>
      <c r="AB40" s="15" t="str">
        <f t="shared" ca="1" si="16"/>
        <v>'ALL JOBS'!F36</v>
      </c>
      <c r="AC40" s="15" t="str">
        <f t="shared" ca="1" si="12"/>
        <v>'ALL JOBS'!G36</v>
      </c>
      <c r="AD40" s="15" t="e">
        <f t="shared" ca="1" si="13"/>
        <v>#N/A</v>
      </c>
      <c r="AF40" s="15" t="str">
        <f t="shared" ca="1" si="44"/>
        <v/>
      </c>
      <c r="AG40" s="15" t="str">
        <f t="shared" si="45"/>
        <v>'ALL JOBS'!D46</v>
      </c>
      <c r="AH40" s="15" t="str">
        <f t="shared" si="46"/>
        <v>'ALL JOBS'!F46</v>
      </c>
      <c r="AJ40" s="15" t="e">
        <f ca="1">(OR(INDIRECT(L40)=MAX('ALL JOBS'!A:A),AJ39))</f>
        <v>#N/A</v>
      </c>
    </row>
    <row r="41" spans="1:36" ht="30" customHeight="1">
      <c r="A41" s="15" t="str">
        <f t="shared" ca="1" si="31"/>
        <v/>
      </c>
      <c r="B41" s="12" t="str">
        <f t="shared" ca="1" si="32"/>
        <v/>
      </c>
      <c r="C41" s="13" t="str">
        <f t="shared" ca="1" si="33"/>
        <v/>
      </c>
      <c r="D41" s="13" t="str">
        <f t="shared" ca="1" si="34"/>
        <v/>
      </c>
      <c r="E41" s="13" t="str">
        <f t="shared" ca="1" si="35"/>
        <v/>
      </c>
      <c r="F41" s="14" t="str">
        <f t="shared" ca="1" si="36"/>
        <v/>
      </c>
      <c r="G41" s="15" t="str">
        <f ca="1">IF($C$1="ALL",IF(INDIRECT(AH41)="","",IF(INDIRECT(AG41)&gt;MAX(Budget!$B$2,Budget!$E$2),"","Y")),IF(ISERR(FIND($C$1,INDIRECT(AH41))),"",IF(INDIRECT(AG41)&gt;MAX(Budget!$B$2,Budget!$E$2),"","Y")))</f>
        <v>Y</v>
      </c>
      <c r="H41" s="15">
        <f t="shared" si="37"/>
        <v>41</v>
      </c>
      <c r="I41" s="15" t="e">
        <f t="shared" ca="1" si="38"/>
        <v>#N/A</v>
      </c>
      <c r="J41" s="15" t="e">
        <f t="shared" ca="1" si="39"/>
        <v>#N/A</v>
      </c>
      <c r="K41" s="15" t="e">
        <f ca="1">CONCATENATE("G",J40+1,":I",'ALL JOBS'!$K$10)</f>
        <v>#N/A</v>
      </c>
      <c r="L41" s="15" t="e">
        <f t="shared" ca="1" si="14"/>
        <v>#N/A</v>
      </c>
      <c r="M41" s="15" t="e">
        <f t="shared" ca="1" si="3"/>
        <v>#N/A</v>
      </c>
      <c r="N41" s="15" t="e">
        <f t="shared" ca="1" si="4"/>
        <v>#N/A</v>
      </c>
      <c r="O41" s="15" t="e">
        <f t="shared" ca="1" si="5"/>
        <v>#N/A</v>
      </c>
      <c r="P41" s="15" t="e">
        <f t="shared" ca="1" si="6"/>
        <v>#N/A</v>
      </c>
      <c r="Q41" s="15" t="e">
        <f t="shared" ca="1" si="7"/>
        <v>#N/A</v>
      </c>
      <c r="R41" s="15" t="e">
        <f t="shared" ca="1" si="8"/>
        <v>#N/A</v>
      </c>
      <c r="S41" s="13" t="str">
        <f t="shared" ca="1" si="40"/>
        <v/>
      </c>
      <c r="T41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41" s="15">
        <f t="shared" si="41"/>
        <v>41</v>
      </c>
      <c r="V41" s="15" t="e">
        <f t="shared" ca="1" si="42"/>
        <v>#N/A</v>
      </c>
      <c r="W41" s="15" t="str">
        <f t="shared" ca="1" si="43"/>
        <v>T31:U72</v>
      </c>
      <c r="X41" s="15" t="e">
        <f t="shared" ca="1" si="15"/>
        <v>#N/A</v>
      </c>
      <c r="Y41" s="15" t="e">
        <f t="shared" ca="1" si="9"/>
        <v>#N/A</v>
      </c>
      <c r="Z41" s="15" t="e">
        <f t="shared" ca="1" si="10"/>
        <v>#N/A</v>
      </c>
      <c r="AA41" s="15" t="e">
        <f t="shared" ca="1" si="11"/>
        <v>#N/A</v>
      </c>
      <c r="AB41" s="15" t="e">
        <f t="shared" ca="1" si="16"/>
        <v>#N/A</v>
      </c>
      <c r="AC41" s="15" t="e">
        <f t="shared" ca="1" si="12"/>
        <v>#N/A</v>
      </c>
      <c r="AD41" s="15" t="e">
        <f t="shared" ca="1" si="13"/>
        <v>#N/A</v>
      </c>
      <c r="AF41" s="15" t="str">
        <f t="shared" ca="1" si="44"/>
        <v/>
      </c>
      <c r="AG41" s="15" t="str">
        <f t="shared" si="45"/>
        <v>'ALL JOBS'!D47</v>
      </c>
      <c r="AH41" s="15" t="str">
        <f t="shared" si="46"/>
        <v>'ALL JOBS'!F47</v>
      </c>
      <c r="AJ41" s="15" t="e">
        <f ca="1">(OR(INDIRECT(L41)=MAX('ALL JOBS'!A:A),AJ40))</f>
        <v>#N/A</v>
      </c>
    </row>
    <row r="42" spans="1:36" ht="30" customHeight="1">
      <c r="A42" s="15" t="str">
        <f t="shared" ca="1" si="31"/>
        <v/>
      </c>
      <c r="B42" s="12" t="str">
        <f t="shared" ca="1" si="32"/>
        <v/>
      </c>
      <c r="C42" s="13" t="str">
        <f t="shared" ca="1" si="33"/>
        <v/>
      </c>
      <c r="D42" s="13" t="str">
        <f t="shared" ca="1" si="34"/>
        <v/>
      </c>
      <c r="E42" s="13" t="str">
        <f t="shared" ca="1" si="35"/>
        <v/>
      </c>
      <c r="F42" s="14" t="str">
        <f t="shared" ca="1" si="36"/>
        <v/>
      </c>
      <c r="G42" s="15" t="str">
        <f ca="1">IF($C$1="ALL",IF(INDIRECT(AH42)="","",IF(INDIRECT(AG42)&gt;MAX(Budget!$B$2,Budget!$E$2),"","Y")),IF(ISERR(FIND($C$1,INDIRECT(AH42))),"",IF(INDIRECT(AG42)&gt;MAX(Budget!$B$2,Budget!$E$2),"","Y")))</f>
        <v/>
      </c>
      <c r="H42" s="15">
        <f t="shared" si="37"/>
        <v>42</v>
      </c>
      <c r="I42" s="15" t="e">
        <f t="shared" ca="1" si="38"/>
        <v>#N/A</v>
      </c>
      <c r="J42" s="15" t="e">
        <f t="shared" ca="1" si="39"/>
        <v>#N/A</v>
      </c>
      <c r="K42" s="15" t="e">
        <f ca="1">CONCATENATE("G",J41+1,":I",'ALL JOBS'!$K$10)</f>
        <v>#N/A</v>
      </c>
      <c r="L42" s="15" t="e">
        <f t="shared" ca="1" si="14"/>
        <v>#N/A</v>
      </c>
      <c r="M42" s="15" t="e">
        <f t="shared" ca="1" si="3"/>
        <v>#N/A</v>
      </c>
      <c r="N42" s="15" t="e">
        <f t="shared" ca="1" si="4"/>
        <v>#N/A</v>
      </c>
      <c r="O42" s="15" t="e">
        <f t="shared" ca="1" si="5"/>
        <v>#N/A</v>
      </c>
      <c r="P42" s="15" t="e">
        <f t="shared" ca="1" si="6"/>
        <v>#N/A</v>
      </c>
      <c r="Q42" s="15" t="e">
        <f t="shared" ca="1" si="7"/>
        <v>#N/A</v>
      </c>
      <c r="R42" s="15" t="e">
        <f t="shared" ca="1" si="8"/>
        <v>#N/A</v>
      </c>
      <c r="S42" s="13" t="str">
        <f t="shared" ca="1" si="40"/>
        <v/>
      </c>
      <c r="T42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42" s="15">
        <f t="shared" si="41"/>
        <v>42</v>
      </c>
      <c r="V42" s="15" t="e">
        <f t="shared" ca="1" si="42"/>
        <v>#N/A</v>
      </c>
      <c r="W42" s="15" t="e">
        <f t="shared" ca="1" si="43"/>
        <v>#N/A</v>
      </c>
      <c r="X42" s="15" t="e">
        <f t="shared" ca="1" si="15"/>
        <v>#N/A</v>
      </c>
      <c r="Y42" s="15" t="e">
        <f t="shared" ca="1" si="9"/>
        <v>#N/A</v>
      </c>
      <c r="Z42" s="15" t="e">
        <f t="shared" ca="1" si="10"/>
        <v>#N/A</v>
      </c>
      <c r="AA42" s="15" t="e">
        <f t="shared" ca="1" si="11"/>
        <v>#N/A</v>
      </c>
      <c r="AB42" s="15" t="e">
        <f t="shared" ca="1" si="16"/>
        <v>#N/A</v>
      </c>
      <c r="AC42" s="15" t="e">
        <f t="shared" ca="1" si="12"/>
        <v>#N/A</v>
      </c>
      <c r="AD42" s="15" t="e">
        <f t="shared" ca="1" si="13"/>
        <v>#N/A</v>
      </c>
      <c r="AF42" s="15" t="str">
        <f t="shared" ca="1" si="44"/>
        <v/>
      </c>
      <c r="AG42" s="15" t="str">
        <f t="shared" si="45"/>
        <v>'ALL JOBS'!D48</v>
      </c>
      <c r="AH42" s="15" t="str">
        <f t="shared" si="46"/>
        <v>'ALL JOBS'!F48</v>
      </c>
      <c r="AJ42" s="15" t="e">
        <f ca="1">(OR(INDIRECT(L42)=MAX('ALL JOBS'!A:A),AJ41))</f>
        <v>#N/A</v>
      </c>
    </row>
    <row r="43" spans="1:36" ht="30" customHeight="1">
      <c r="A43" s="15" t="str">
        <f t="shared" ca="1" si="31"/>
        <v/>
      </c>
      <c r="B43" s="12" t="str">
        <f t="shared" ca="1" si="32"/>
        <v/>
      </c>
      <c r="C43" s="13" t="str">
        <f t="shared" ca="1" si="33"/>
        <v/>
      </c>
      <c r="D43" s="13" t="str">
        <f t="shared" ca="1" si="34"/>
        <v/>
      </c>
      <c r="E43" s="13" t="str">
        <f t="shared" ca="1" si="35"/>
        <v/>
      </c>
      <c r="F43" s="14" t="str">
        <f t="shared" ca="1" si="36"/>
        <v/>
      </c>
      <c r="G43" s="15" t="str">
        <f ca="1">IF($C$1="ALL",IF(INDIRECT(AH43)="","",IF(INDIRECT(AG43)&gt;MAX(Budget!$B$2,Budget!$E$2),"","Y")),IF(ISERR(FIND($C$1,INDIRECT(AH43))),"",IF(INDIRECT(AG43)&gt;MAX(Budget!$B$2,Budget!$E$2),"","Y")))</f>
        <v/>
      </c>
      <c r="H43" s="15">
        <f t="shared" si="37"/>
        <v>43</v>
      </c>
      <c r="I43" s="15" t="e">
        <f t="shared" ca="1" si="38"/>
        <v>#N/A</v>
      </c>
      <c r="J43" s="15" t="e">
        <f t="shared" ca="1" si="39"/>
        <v>#N/A</v>
      </c>
      <c r="K43" s="15" t="e">
        <f ca="1">CONCATENATE("G",J42+1,":I",'ALL JOBS'!$K$10)</f>
        <v>#N/A</v>
      </c>
      <c r="L43" s="15" t="e">
        <f t="shared" ca="1" si="14"/>
        <v>#N/A</v>
      </c>
      <c r="M43" s="15" t="e">
        <f t="shared" ca="1" si="3"/>
        <v>#N/A</v>
      </c>
      <c r="N43" s="15" t="e">
        <f t="shared" ca="1" si="4"/>
        <v>#N/A</v>
      </c>
      <c r="O43" s="15" t="e">
        <f t="shared" ca="1" si="5"/>
        <v>#N/A</v>
      </c>
      <c r="P43" s="15" t="e">
        <f t="shared" ca="1" si="6"/>
        <v>#N/A</v>
      </c>
      <c r="Q43" s="15" t="e">
        <f t="shared" ca="1" si="7"/>
        <v>#N/A</v>
      </c>
      <c r="R43" s="15" t="e">
        <f t="shared" ca="1" si="8"/>
        <v>#N/A</v>
      </c>
      <c r="S43" s="13" t="str">
        <f t="shared" ca="1" si="40"/>
        <v/>
      </c>
      <c r="T43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43" s="15">
        <f t="shared" si="41"/>
        <v>43</v>
      </c>
      <c r="V43" s="15" t="e">
        <f t="shared" ca="1" si="42"/>
        <v>#N/A</v>
      </c>
      <c r="W43" s="15" t="e">
        <f t="shared" ca="1" si="43"/>
        <v>#N/A</v>
      </c>
      <c r="X43" s="15" t="e">
        <f t="shared" ca="1" si="15"/>
        <v>#N/A</v>
      </c>
      <c r="Y43" s="15" t="e">
        <f t="shared" ca="1" si="9"/>
        <v>#N/A</v>
      </c>
      <c r="Z43" s="15" t="e">
        <f t="shared" ca="1" si="10"/>
        <v>#N/A</v>
      </c>
      <c r="AA43" s="15" t="e">
        <f t="shared" ca="1" si="11"/>
        <v>#N/A</v>
      </c>
      <c r="AB43" s="15" t="e">
        <f t="shared" ca="1" si="16"/>
        <v>#N/A</v>
      </c>
      <c r="AC43" s="15" t="e">
        <f t="shared" ca="1" si="12"/>
        <v>#N/A</v>
      </c>
      <c r="AD43" s="15" t="e">
        <f t="shared" ca="1" si="13"/>
        <v>#N/A</v>
      </c>
      <c r="AF43" s="15" t="str">
        <f t="shared" ca="1" si="44"/>
        <v/>
      </c>
      <c r="AG43" s="15" t="str">
        <f t="shared" si="45"/>
        <v>'ALL JOBS'!D49</v>
      </c>
      <c r="AH43" s="15" t="str">
        <f t="shared" si="46"/>
        <v>'ALL JOBS'!F49</v>
      </c>
      <c r="AJ43" s="15" t="e">
        <f ca="1">(OR(INDIRECT(L43)=MAX('ALL JOBS'!A:A),AJ42))</f>
        <v>#N/A</v>
      </c>
    </row>
    <row r="44" spans="1:36" ht="30" customHeight="1">
      <c r="A44" s="15" t="str">
        <f t="shared" ca="1" si="31"/>
        <v/>
      </c>
      <c r="B44" s="12" t="str">
        <f t="shared" ca="1" si="32"/>
        <v/>
      </c>
      <c r="C44" s="13" t="str">
        <f t="shared" ca="1" si="33"/>
        <v/>
      </c>
      <c r="D44" s="13" t="str">
        <f t="shared" ca="1" si="34"/>
        <v/>
      </c>
      <c r="E44" s="13" t="str">
        <f t="shared" ca="1" si="35"/>
        <v/>
      </c>
      <c r="F44" s="14" t="str">
        <f t="shared" ca="1" si="36"/>
        <v/>
      </c>
      <c r="G44" s="15" t="str">
        <f ca="1">IF($C$1="ALL",IF(INDIRECT(AH44)="","",IF(INDIRECT(AG44)&gt;MAX(Budget!$B$2,Budget!$E$2),"","Y")),IF(ISERR(FIND($C$1,INDIRECT(AH44))),"",IF(INDIRECT(AG44)&gt;MAX(Budget!$B$2,Budget!$E$2),"","Y")))</f>
        <v/>
      </c>
      <c r="H44" s="15">
        <f t="shared" si="37"/>
        <v>44</v>
      </c>
      <c r="I44" s="15" t="e">
        <f t="shared" ca="1" si="38"/>
        <v>#N/A</v>
      </c>
      <c r="J44" s="15" t="e">
        <f t="shared" ca="1" si="39"/>
        <v>#N/A</v>
      </c>
      <c r="K44" s="15" t="e">
        <f ca="1">CONCATENATE("G",J43+1,":I",'ALL JOBS'!$K$10)</f>
        <v>#N/A</v>
      </c>
      <c r="L44" s="15" t="e">
        <f t="shared" ca="1" si="14"/>
        <v>#N/A</v>
      </c>
      <c r="M44" s="15" t="e">
        <f t="shared" ca="1" si="3"/>
        <v>#N/A</v>
      </c>
      <c r="N44" s="15" t="e">
        <f t="shared" ca="1" si="4"/>
        <v>#N/A</v>
      </c>
      <c r="O44" s="15" t="e">
        <f t="shared" ca="1" si="5"/>
        <v>#N/A</v>
      </c>
      <c r="P44" s="15" t="e">
        <f t="shared" ca="1" si="6"/>
        <v>#N/A</v>
      </c>
      <c r="Q44" s="15" t="e">
        <f t="shared" ca="1" si="7"/>
        <v>#N/A</v>
      </c>
      <c r="R44" s="15" t="e">
        <f t="shared" ca="1" si="8"/>
        <v>#N/A</v>
      </c>
      <c r="S44" s="13" t="str">
        <f t="shared" ca="1" si="40"/>
        <v/>
      </c>
      <c r="T44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44" s="15">
        <f t="shared" si="41"/>
        <v>44</v>
      </c>
      <c r="V44" s="15" t="e">
        <f t="shared" ca="1" si="42"/>
        <v>#N/A</v>
      </c>
      <c r="W44" s="15" t="e">
        <f t="shared" ca="1" si="43"/>
        <v>#N/A</v>
      </c>
      <c r="X44" s="15" t="e">
        <f t="shared" ca="1" si="15"/>
        <v>#N/A</v>
      </c>
      <c r="Y44" s="15" t="e">
        <f t="shared" ca="1" si="9"/>
        <v>#N/A</v>
      </c>
      <c r="Z44" s="15" t="e">
        <f t="shared" ca="1" si="10"/>
        <v>#N/A</v>
      </c>
      <c r="AA44" s="15" t="e">
        <f t="shared" ca="1" si="11"/>
        <v>#N/A</v>
      </c>
      <c r="AB44" s="15" t="e">
        <f t="shared" ca="1" si="16"/>
        <v>#N/A</v>
      </c>
      <c r="AC44" s="15" t="e">
        <f t="shared" ca="1" si="12"/>
        <v>#N/A</v>
      </c>
      <c r="AD44" s="15" t="e">
        <f t="shared" ca="1" si="13"/>
        <v>#N/A</v>
      </c>
      <c r="AF44" s="15" t="str">
        <f t="shared" ca="1" si="44"/>
        <v/>
      </c>
      <c r="AG44" s="15" t="str">
        <f t="shared" si="45"/>
        <v>'ALL JOBS'!D50</v>
      </c>
      <c r="AH44" s="15" t="str">
        <f t="shared" si="46"/>
        <v>'ALL JOBS'!F50</v>
      </c>
      <c r="AJ44" s="15" t="e">
        <f ca="1">(OR(INDIRECT(L44)=MAX('ALL JOBS'!A:A),AJ43))</f>
        <v>#N/A</v>
      </c>
    </row>
    <row r="45" spans="1:36" ht="30" customHeight="1">
      <c r="A45" s="15" t="str">
        <f t="shared" ca="1" si="31"/>
        <v/>
      </c>
      <c r="B45" s="12" t="str">
        <f t="shared" ca="1" si="32"/>
        <v/>
      </c>
      <c r="C45" s="13" t="str">
        <f t="shared" ca="1" si="33"/>
        <v/>
      </c>
      <c r="D45" s="13" t="str">
        <f t="shared" ca="1" si="34"/>
        <v/>
      </c>
      <c r="E45" s="13" t="str">
        <f t="shared" ca="1" si="35"/>
        <v/>
      </c>
      <c r="F45" s="14" t="str">
        <f t="shared" ca="1" si="36"/>
        <v/>
      </c>
      <c r="G45" s="15" t="str">
        <f ca="1">IF($C$1="ALL",IF(INDIRECT(AH45)="","",IF(INDIRECT(AG45)&gt;MAX(Budget!$B$2,Budget!$E$2),"","Y")),IF(ISERR(FIND($C$1,INDIRECT(AH45))),"",IF(INDIRECT(AG45)&gt;MAX(Budget!$B$2,Budget!$E$2),"","Y")))</f>
        <v/>
      </c>
      <c r="H45" s="15">
        <f t="shared" si="37"/>
        <v>45</v>
      </c>
      <c r="I45" s="15" t="e">
        <f t="shared" ca="1" si="38"/>
        <v>#N/A</v>
      </c>
      <c r="J45" s="15" t="e">
        <f t="shared" ca="1" si="39"/>
        <v>#N/A</v>
      </c>
      <c r="K45" s="15" t="e">
        <f ca="1">CONCATENATE("G",J44+1,":I",'ALL JOBS'!$K$10)</f>
        <v>#N/A</v>
      </c>
      <c r="L45" s="15" t="e">
        <f t="shared" ca="1" si="14"/>
        <v>#N/A</v>
      </c>
      <c r="M45" s="15" t="e">
        <f t="shared" ca="1" si="3"/>
        <v>#N/A</v>
      </c>
      <c r="N45" s="15" t="e">
        <f t="shared" ca="1" si="4"/>
        <v>#N/A</v>
      </c>
      <c r="O45" s="15" t="e">
        <f t="shared" ca="1" si="5"/>
        <v>#N/A</v>
      </c>
      <c r="P45" s="15" t="e">
        <f t="shared" ca="1" si="6"/>
        <v>#N/A</v>
      </c>
      <c r="Q45" s="15" t="e">
        <f t="shared" ca="1" si="7"/>
        <v>#N/A</v>
      </c>
      <c r="R45" s="15" t="e">
        <f t="shared" ca="1" si="8"/>
        <v>#N/A</v>
      </c>
      <c r="S45" s="13" t="str">
        <f t="shared" ca="1" si="40"/>
        <v/>
      </c>
      <c r="T45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45" s="15">
        <f t="shared" si="41"/>
        <v>45</v>
      </c>
      <c r="V45" s="15" t="e">
        <f t="shared" ca="1" si="42"/>
        <v>#N/A</v>
      </c>
      <c r="W45" s="15" t="e">
        <f t="shared" ca="1" si="43"/>
        <v>#N/A</v>
      </c>
      <c r="X45" s="15" t="e">
        <f t="shared" ca="1" si="15"/>
        <v>#N/A</v>
      </c>
      <c r="Y45" s="15" t="e">
        <f t="shared" ca="1" si="9"/>
        <v>#N/A</v>
      </c>
      <c r="Z45" s="15" t="e">
        <f t="shared" ca="1" si="10"/>
        <v>#N/A</v>
      </c>
      <c r="AA45" s="15" t="e">
        <f t="shared" ca="1" si="11"/>
        <v>#N/A</v>
      </c>
      <c r="AB45" s="15" t="e">
        <f t="shared" ca="1" si="16"/>
        <v>#N/A</v>
      </c>
      <c r="AC45" s="15" t="e">
        <f t="shared" ca="1" si="12"/>
        <v>#N/A</v>
      </c>
      <c r="AD45" s="15" t="e">
        <f t="shared" ca="1" si="13"/>
        <v>#N/A</v>
      </c>
      <c r="AF45" s="15" t="str">
        <f t="shared" ca="1" si="44"/>
        <v/>
      </c>
      <c r="AG45" s="15" t="str">
        <f t="shared" si="45"/>
        <v>'ALL JOBS'!D51</v>
      </c>
      <c r="AH45" s="15" t="str">
        <f t="shared" si="46"/>
        <v>'ALL JOBS'!F51</v>
      </c>
      <c r="AJ45" s="15" t="e">
        <f ca="1">(OR(INDIRECT(L45)=MAX('ALL JOBS'!A:A),AJ44))</f>
        <v>#N/A</v>
      </c>
    </row>
    <row r="46" spans="1:36" ht="30" customHeight="1">
      <c r="A46" s="15" t="str">
        <f t="shared" ca="1" si="31"/>
        <v/>
      </c>
      <c r="B46" s="12" t="str">
        <f t="shared" ca="1" si="32"/>
        <v/>
      </c>
      <c r="C46" s="13" t="str">
        <f t="shared" ca="1" si="33"/>
        <v/>
      </c>
      <c r="D46" s="13" t="str">
        <f t="shared" ca="1" si="34"/>
        <v/>
      </c>
      <c r="E46" s="13" t="str">
        <f t="shared" ca="1" si="35"/>
        <v/>
      </c>
      <c r="F46" s="14" t="str">
        <f t="shared" ca="1" si="36"/>
        <v/>
      </c>
      <c r="G46" s="15" t="str">
        <f ca="1">IF($C$1="ALL",IF(INDIRECT(AH46)="","",IF(INDIRECT(AG46)&gt;MAX(Budget!$B$2,Budget!$E$2),"","Y")),IF(ISERR(FIND($C$1,INDIRECT(AH46))),"",IF(INDIRECT(AG46)&gt;MAX(Budget!$B$2,Budget!$E$2),"","Y")))</f>
        <v/>
      </c>
      <c r="H46" s="15">
        <f t="shared" si="37"/>
        <v>46</v>
      </c>
      <c r="I46" s="15" t="e">
        <f t="shared" ca="1" si="38"/>
        <v>#N/A</v>
      </c>
      <c r="J46" s="15" t="e">
        <f t="shared" ca="1" si="39"/>
        <v>#N/A</v>
      </c>
      <c r="K46" s="15" t="e">
        <f ca="1">CONCATENATE("G",J45+1,":I",'ALL JOBS'!$K$10)</f>
        <v>#N/A</v>
      </c>
      <c r="L46" s="15" t="e">
        <f t="shared" ca="1" si="14"/>
        <v>#N/A</v>
      </c>
      <c r="M46" s="15" t="e">
        <f t="shared" ca="1" si="3"/>
        <v>#N/A</v>
      </c>
      <c r="N46" s="15" t="e">
        <f t="shared" ca="1" si="4"/>
        <v>#N/A</v>
      </c>
      <c r="O46" s="15" t="e">
        <f t="shared" ca="1" si="5"/>
        <v>#N/A</v>
      </c>
      <c r="P46" s="15" t="e">
        <f t="shared" ca="1" si="6"/>
        <v>#N/A</v>
      </c>
      <c r="Q46" s="15" t="e">
        <f t="shared" ca="1" si="7"/>
        <v>#N/A</v>
      </c>
      <c r="R46" s="15" t="e">
        <f t="shared" ca="1" si="8"/>
        <v>#N/A</v>
      </c>
      <c r="S46" s="13" t="str">
        <f t="shared" ca="1" si="40"/>
        <v/>
      </c>
      <c r="T46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46" s="15">
        <f t="shared" si="41"/>
        <v>46</v>
      </c>
      <c r="V46" s="15" t="e">
        <f t="shared" ca="1" si="42"/>
        <v>#N/A</v>
      </c>
      <c r="W46" s="15" t="e">
        <f t="shared" ca="1" si="43"/>
        <v>#N/A</v>
      </c>
      <c r="X46" s="15" t="e">
        <f t="shared" ca="1" si="15"/>
        <v>#N/A</v>
      </c>
      <c r="Y46" s="15" t="e">
        <f t="shared" ca="1" si="9"/>
        <v>#N/A</v>
      </c>
      <c r="Z46" s="15" t="e">
        <f t="shared" ca="1" si="10"/>
        <v>#N/A</v>
      </c>
      <c r="AA46" s="15" t="e">
        <f t="shared" ca="1" si="11"/>
        <v>#N/A</v>
      </c>
      <c r="AB46" s="15" t="e">
        <f t="shared" ca="1" si="16"/>
        <v>#N/A</v>
      </c>
      <c r="AC46" s="15" t="e">
        <f t="shared" ca="1" si="12"/>
        <v>#N/A</v>
      </c>
      <c r="AD46" s="15" t="e">
        <f t="shared" ca="1" si="13"/>
        <v>#N/A</v>
      </c>
      <c r="AF46" s="15" t="str">
        <f t="shared" ca="1" si="44"/>
        <v/>
      </c>
      <c r="AG46" s="15" t="str">
        <f t="shared" si="45"/>
        <v>'ALL JOBS'!D52</v>
      </c>
      <c r="AH46" s="15" t="str">
        <f t="shared" si="46"/>
        <v>'ALL JOBS'!F52</v>
      </c>
      <c r="AJ46" s="15" t="e">
        <f ca="1">(OR(INDIRECT(L46)=MAX('ALL JOBS'!A:A),AJ45))</f>
        <v>#N/A</v>
      </c>
    </row>
    <row r="47" spans="1:36" ht="30" customHeight="1">
      <c r="A47" s="15" t="str">
        <f t="shared" ca="1" si="31"/>
        <v/>
      </c>
      <c r="B47" s="12" t="str">
        <f t="shared" ca="1" si="32"/>
        <v/>
      </c>
      <c r="C47" s="13" t="str">
        <f t="shared" ca="1" si="33"/>
        <v/>
      </c>
      <c r="D47" s="13" t="str">
        <f t="shared" ca="1" si="34"/>
        <v/>
      </c>
      <c r="E47" s="13" t="str">
        <f t="shared" ca="1" si="35"/>
        <v/>
      </c>
      <c r="F47" s="14" t="str">
        <f t="shared" ca="1" si="36"/>
        <v/>
      </c>
      <c r="G47" s="15" t="str">
        <f ca="1">IF($C$1="ALL",IF(INDIRECT(AH47)="","",IF(INDIRECT(AG47)&gt;MAX(Budget!$B$2,Budget!$E$2),"","Y")),IF(ISERR(FIND($C$1,INDIRECT(AH47))),"",IF(INDIRECT(AG47)&gt;MAX(Budget!$B$2,Budget!$E$2),"","Y")))</f>
        <v/>
      </c>
      <c r="H47" s="15">
        <f t="shared" si="37"/>
        <v>47</v>
      </c>
      <c r="I47" s="15" t="e">
        <f t="shared" ca="1" si="38"/>
        <v>#N/A</v>
      </c>
      <c r="J47" s="15" t="e">
        <f t="shared" ca="1" si="39"/>
        <v>#N/A</v>
      </c>
      <c r="K47" s="15" t="e">
        <f ca="1">CONCATENATE("G",J46+1,":I",'ALL JOBS'!$K$10)</f>
        <v>#N/A</v>
      </c>
      <c r="L47" s="15" t="e">
        <f t="shared" ca="1" si="14"/>
        <v>#N/A</v>
      </c>
      <c r="M47" s="15" t="e">
        <f t="shared" ca="1" si="3"/>
        <v>#N/A</v>
      </c>
      <c r="N47" s="15" t="e">
        <f t="shared" ca="1" si="4"/>
        <v>#N/A</v>
      </c>
      <c r="O47" s="15" t="e">
        <f t="shared" ca="1" si="5"/>
        <v>#N/A</v>
      </c>
      <c r="P47" s="15" t="e">
        <f t="shared" ca="1" si="6"/>
        <v>#N/A</v>
      </c>
      <c r="Q47" s="15" t="e">
        <f t="shared" ca="1" si="7"/>
        <v>#N/A</v>
      </c>
      <c r="R47" s="15" t="e">
        <f t="shared" ca="1" si="8"/>
        <v>#N/A</v>
      </c>
      <c r="S47" s="13" t="str">
        <f t="shared" ca="1" si="40"/>
        <v/>
      </c>
      <c r="T47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47" s="15">
        <f t="shared" si="41"/>
        <v>47</v>
      </c>
      <c r="V47" s="15" t="e">
        <f t="shared" ca="1" si="42"/>
        <v>#N/A</v>
      </c>
      <c r="W47" s="15" t="e">
        <f t="shared" ca="1" si="43"/>
        <v>#N/A</v>
      </c>
      <c r="X47" s="15" t="e">
        <f t="shared" ca="1" si="15"/>
        <v>#N/A</v>
      </c>
      <c r="Y47" s="15" t="e">
        <f t="shared" ca="1" si="9"/>
        <v>#N/A</v>
      </c>
      <c r="Z47" s="15" t="e">
        <f t="shared" ca="1" si="10"/>
        <v>#N/A</v>
      </c>
      <c r="AA47" s="15" t="e">
        <f t="shared" ca="1" si="11"/>
        <v>#N/A</v>
      </c>
      <c r="AB47" s="15" t="e">
        <f t="shared" ca="1" si="16"/>
        <v>#N/A</v>
      </c>
      <c r="AC47" s="15" t="e">
        <f t="shared" ca="1" si="12"/>
        <v>#N/A</v>
      </c>
      <c r="AD47" s="15" t="e">
        <f t="shared" ca="1" si="13"/>
        <v>#N/A</v>
      </c>
      <c r="AF47" s="15" t="str">
        <f t="shared" ca="1" si="44"/>
        <v/>
      </c>
      <c r="AG47" s="15" t="str">
        <f t="shared" si="45"/>
        <v>'ALL JOBS'!D53</v>
      </c>
      <c r="AH47" s="15" t="str">
        <f t="shared" si="46"/>
        <v>'ALL JOBS'!F53</v>
      </c>
      <c r="AJ47" s="15" t="e">
        <f ca="1">(OR(INDIRECT(L47)=MAX('ALL JOBS'!A:A),AJ46))</f>
        <v>#N/A</v>
      </c>
    </row>
    <row r="48" spans="1:36" ht="30" customHeight="1">
      <c r="A48" s="15" t="str">
        <f t="shared" ca="1" si="31"/>
        <v/>
      </c>
      <c r="B48" s="12" t="str">
        <f t="shared" ca="1" si="32"/>
        <v/>
      </c>
      <c r="C48" s="13" t="str">
        <f t="shared" ca="1" si="33"/>
        <v/>
      </c>
      <c r="D48" s="13" t="str">
        <f t="shared" ca="1" si="34"/>
        <v/>
      </c>
      <c r="E48" s="13" t="str">
        <f t="shared" ca="1" si="35"/>
        <v/>
      </c>
      <c r="F48" s="14" t="str">
        <f t="shared" ca="1" si="36"/>
        <v/>
      </c>
      <c r="G48" s="15" t="str">
        <f ca="1">IF($C$1="ALL",IF(INDIRECT(AH48)="","",IF(INDIRECT(AG48)&gt;MAX(Budget!$B$2,Budget!$E$2),"","Y")),IF(ISERR(FIND($C$1,INDIRECT(AH48))),"",IF(INDIRECT(AG48)&gt;MAX(Budget!$B$2,Budget!$E$2),"","Y")))</f>
        <v/>
      </c>
      <c r="H48" s="15">
        <f t="shared" si="37"/>
        <v>48</v>
      </c>
      <c r="I48" s="15" t="e">
        <f t="shared" ca="1" si="38"/>
        <v>#N/A</v>
      </c>
      <c r="J48" s="15" t="e">
        <f t="shared" ca="1" si="39"/>
        <v>#N/A</v>
      </c>
      <c r="K48" s="15" t="e">
        <f ca="1">CONCATENATE("G",J47+1,":I",'ALL JOBS'!$K$10)</f>
        <v>#N/A</v>
      </c>
      <c r="L48" s="15" t="e">
        <f t="shared" ca="1" si="14"/>
        <v>#N/A</v>
      </c>
      <c r="M48" s="15" t="e">
        <f t="shared" ca="1" si="3"/>
        <v>#N/A</v>
      </c>
      <c r="N48" s="15" t="e">
        <f t="shared" ca="1" si="4"/>
        <v>#N/A</v>
      </c>
      <c r="O48" s="15" t="e">
        <f t="shared" ca="1" si="5"/>
        <v>#N/A</v>
      </c>
      <c r="P48" s="15" t="e">
        <f t="shared" ca="1" si="6"/>
        <v>#N/A</v>
      </c>
      <c r="Q48" s="15" t="e">
        <f t="shared" ca="1" si="7"/>
        <v>#N/A</v>
      </c>
      <c r="R48" s="15" t="e">
        <f t="shared" ca="1" si="8"/>
        <v>#N/A</v>
      </c>
      <c r="S48" s="13" t="str">
        <f t="shared" ca="1" si="40"/>
        <v/>
      </c>
      <c r="T48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48" s="15">
        <f t="shared" si="41"/>
        <v>48</v>
      </c>
      <c r="V48" s="15" t="e">
        <f t="shared" ca="1" si="42"/>
        <v>#N/A</v>
      </c>
      <c r="W48" s="15" t="e">
        <f t="shared" ca="1" si="43"/>
        <v>#N/A</v>
      </c>
      <c r="X48" s="15" t="e">
        <f t="shared" ca="1" si="15"/>
        <v>#N/A</v>
      </c>
      <c r="Y48" s="15" t="e">
        <f t="shared" ca="1" si="9"/>
        <v>#N/A</v>
      </c>
      <c r="Z48" s="15" t="e">
        <f t="shared" ca="1" si="10"/>
        <v>#N/A</v>
      </c>
      <c r="AA48" s="15" t="e">
        <f t="shared" ca="1" si="11"/>
        <v>#N/A</v>
      </c>
      <c r="AB48" s="15" t="e">
        <f t="shared" ca="1" si="16"/>
        <v>#N/A</v>
      </c>
      <c r="AC48" s="15" t="e">
        <f t="shared" ca="1" si="12"/>
        <v>#N/A</v>
      </c>
      <c r="AD48" s="15" t="e">
        <f t="shared" ca="1" si="13"/>
        <v>#N/A</v>
      </c>
      <c r="AF48" s="15" t="str">
        <f t="shared" ca="1" si="44"/>
        <v/>
      </c>
      <c r="AG48" s="15" t="str">
        <f t="shared" si="45"/>
        <v>'ALL JOBS'!D54</v>
      </c>
      <c r="AH48" s="15" t="str">
        <f t="shared" si="46"/>
        <v>'ALL JOBS'!F54</v>
      </c>
      <c r="AJ48" s="15" t="e">
        <f ca="1">(OR(INDIRECT(L48)=MAX('ALL JOBS'!A:A),AJ47))</f>
        <v>#N/A</v>
      </c>
    </row>
    <row r="49" spans="1:36" ht="30" customHeight="1">
      <c r="A49" s="15" t="str">
        <f t="shared" ca="1" si="31"/>
        <v/>
      </c>
      <c r="B49" s="12" t="str">
        <f t="shared" ca="1" si="32"/>
        <v/>
      </c>
      <c r="C49" s="13" t="str">
        <f t="shared" ca="1" si="33"/>
        <v/>
      </c>
      <c r="D49" s="13" t="str">
        <f t="shared" ca="1" si="34"/>
        <v/>
      </c>
      <c r="E49" s="13" t="str">
        <f t="shared" ca="1" si="35"/>
        <v/>
      </c>
      <c r="F49" s="14" t="str">
        <f t="shared" ca="1" si="36"/>
        <v/>
      </c>
      <c r="G49" s="15" t="str">
        <f ca="1">IF($C$1="ALL",IF(INDIRECT(AH49)="","",IF(INDIRECT(AG49)&gt;MAX(Budget!$B$2,Budget!$E$2),"","Y")),IF(ISERR(FIND($C$1,INDIRECT(AH49))),"",IF(INDIRECT(AG49)&gt;MAX(Budget!$B$2,Budget!$E$2),"","Y")))</f>
        <v/>
      </c>
      <c r="H49" s="15">
        <f t="shared" si="37"/>
        <v>49</v>
      </c>
      <c r="I49" s="15" t="e">
        <f t="shared" ca="1" si="38"/>
        <v>#N/A</v>
      </c>
      <c r="J49" s="15" t="e">
        <f t="shared" ca="1" si="39"/>
        <v>#N/A</v>
      </c>
      <c r="K49" s="15" t="e">
        <f ca="1">CONCATENATE("G",J48+1,":I",'ALL JOBS'!$K$10)</f>
        <v>#N/A</v>
      </c>
      <c r="L49" s="15" t="e">
        <f t="shared" ca="1" si="14"/>
        <v>#N/A</v>
      </c>
      <c r="M49" s="15" t="e">
        <f t="shared" ca="1" si="3"/>
        <v>#N/A</v>
      </c>
      <c r="N49" s="15" t="e">
        <f t="shared" ca="1" si="4"/>
        <v>#N/A</v>
      </c>
      <c r="O49" s="15" t="e">
        <f t="shared" ca="1" si="5"/>
        <v>#N/A</v>
      </c>
      <c r="P49" s="15" t="e">
        <f t="shared" ca="1" si="6"/>
        <v>#N/A</v>
      </c>
      <c r="Q49" s="15" t="e">
        <f t="shared" ca="1" si="7"/>
        <v>#N/A</v>
      </c>
      <c r="R49" s="15" t="e">
        <f t="shared" ca="1" si="8"/>
        <v>#N/A</v>
      </c>
      <c r="S49" s="13" t="str">
        <f t="shared" ca="1" si="40"/>
        <v/>
      </c>
      <c r="T49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49" s="15">
        <f t="shared" si="41"/>
        <v>49</v>
      </c>
      <c r="V49" s="15" t="e">
        <f t="shared" ca="1" si="42"/>
        <v>#N/A</v>
      </c>
      <c r="W49" s="15" t="e">
        <f t="shared" ca="1" si="43"/>
        <v>#N/A</v>
      </c>
      <c r="X49" s="15" t="e">
        <f t="shared" ca="1" si="15"/>
        <v>#N/A</v>
      </c>
      <c r="Y49" s="15" t="e">
        <f t="shared" ca="1" si="9"/>
        <v>#N/A</v>
      </c>
      <c r="Z49" s="15" t="e">
        <f t="shared" ca="1" si="10"/>
        <v>#N/A</v>
      </c>
      <c r="AA49" s="15" t="e">
        <f t="shared" ca="1" si="11"/>
        <v>#N/A</v>
      </c>
      <c r="AB49" s="15" t="e">
        <f t="shared" ca="1" si="16"/>
        <v>#N/A</v>
      </c>
      <c r="AC49" s="15" t="e">
        <f t="shared" ca="1" si="12"/>
        <v>#N/A</v>
      </c>
      <c r="AD49" s="15" t="e">
        <f t="shared" ca="1" si="13"/>
        <v>#N/A</v>
      </c>
      <c r="AF49" s="15" t="str">
        <f t="shared" ca="1" si="44"/>
        <v/>
      </c>
      <c r="AG49" s="15" t="str">
        <f t="shared" si="45"/>
        <v>'ALL JOBS'!D55</v>
      </c>
      <c r="AH49" s="15" t="str">
        <f t="shared" si="46"/>
        <v>'ALL JOBS'!F55</v>
      </c>
      <c r="AJ49" s="15" t="e">
        <f ca="1">(OR(INDIRECT(L49)=MAX('ALL JOBS'!A:A),AJ48))</f>
        <v>#N/A</v>
      </c>
    </row>
    <row r="50" spans="1:36" ht="30" customHeight="1">
      <c r="A50" s="15" t="str">
        <f t="shared" ca="1" si="31"/>
        <v/>
      </c>
      <c r="B50" s="12" t="str">
        <f t="shared" ca="1" si="32"/>
        <v/>
      </c>
      <c r="C50" s="13" t="str">
        <f t="shared" ca="1" si="33"/>
        <v/>
      </c>
      <c r="D50" s="13" t="str">
        <f t="shared" ca="1" si="34"/>
        <v/>
      </c>
      <c r="E50" s="13" t="str">
        <f t="shared" ca="1" si="35"/>
        <v/>
      </c>
      <c r="F50" s="14" t="str">
        <f t="shared" ca="1" si="36"/>
        <v/>
      </c>
      <c r="G50" s="15" t="str">
        <f ca="1">IF($C$1="ALL",IF(INDIRECT(AH50)="","",IF(INDIRECT(AG50)&gt;MAX(Budget!$B$2,Budget!$E$2),"","Y")),IF(ISERR(FIND($C$1,INDIRECT(AH50))),"",IF(INDIRECT(AG50)&gt;MAX(Budget!$B$2,Budget!$E$2),"","Y")))</f>
        <v/>
      </c>
      <c r="H50" s="15">
        <f t="shared" si="37"/>
        <v>50</v>
      </c>
      <c r="I50" s="15" t="e">
        <f t="shared" ca="1" si="38"/>
        <v>#N/A</v>
      </c>
      <c r="J50" s="15" t="e">
        <f t="shared" ca="1" si="39"/>
        <v>#N/A</v>
      </c>
      <c r="K50" s="15" t="e">
        <f ca="1">CONCATENATE("G",J49+1,":I",'ALL JOBS'!$K$10)</f>
        <v>#N/A</v>
      </c>
      <c r="L50" s="15" t="e">
        <f t="shared" ca="1" si="14"/>
        <v>#N/A</v>
      </c>
      <c r="M50" s="15" t="e">
        <f t="shared" ca="1" si="3"/>
        <v>#N/A</v>
      </c>
      <c r="N50" s="15" t="e">
        <f t="shared" ca="1" si="4"/>
        <v>#N/A</v>
      </c>
      <c r="O50" s="15" t="e">
        <f t="shared" ca="1" si="5"/>
        <v>#N/A</v>
      </c>
      <c r="P50" s="15" t="e">
        <f t="shared" ca="1" si="6"/>
        <v>#N/A</v>
      </c>
      <c r="Q50" s="15" t="e">
        <f t="shared" ca="1" si="7"/>
        <v>#N/A</v>
      </c>
      <c r="R50" s="15" t="e">
        <f t="shared" ca="1" si="8"/>
        <v>#N/A</v>
      </c>
      <c r="S50" s="13" t="str">
        <f t="shared" ca="1" si="40"/>
        <v/>
      </c>
      <c r="T50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50" s="15">
        <f t="shared" si="41"/>
        <v>50</v>
      </c>
      <c r="V50" s="15" t="e">
        <f t="shared" ca="1" si="42"/>
        <v>#N/A</v>
      </c>
      <c r="W50" s="15" t="e">
        <f t="shared" ca="1" si="43"/>
        <v>#N/A</v>
      </c>
      <c r="X50" s="15" t="e">
        <f t="shared" ca="1" si="15"/>
        <v>#N/A</v>
      </c>
      <c r="Y50" s="15" t="e">
        <f t="shared" ca="1" si="9"/>
        <v>#N/A</v>
      </c>
      <c r="Z50" s="15" t="e">
        <f t="shared" ca="1" si="10"/>
        <v>#N/A</v>
      </c>
      <c r="AA50" s="15" t="e">
        <f t="shared" ca="1" si="11"/>
        <v>#N/A</v>
      </c>
      <c r="AB50" s="15" t="e">
        <f t="shared" ca="1" si="16"/>
        <v>#N/A</v>
      </c>
      <c r="AC50" s="15" t="e">
        <f t="shared" ca="1" si="12"/>
        <v>#N/A</v>
      </c>
      <c r="AD50" s="15" t="e">
        <f t="shared" ca="1" si="13"/>
        <v>#N/A</v>
      </c>
      <c r="AF50" s="15" t="str">
        <f t="shared" ca="1" si="44"/>
        <v/>
      </c>
      <c r="AG50" s="15" t="str">
        <f t="shared" si="45"/>
        <v>'ALL JOBS'!D56</v>
      </c>
      <c r="AH50" s="15" t="str">
        <f t="shared" si="46"/>
        <v>'ALL JOBS'!F56</v>
      </c>
      <c r="AJ50" s="15" t="e">
        <f ca="1">(OR(INDIRECT(L50)=MAX('ALL JOBS'!A:A),AJ49))</f>
        <v>#N/A</v>
      </c>
    </row>
    <row r="51" spans="1:36" ht="30" customHeight="1">
      <c r="A51" s="15" t="str">
        <f t="shared" ca="1" si="31"/>
        <v/>
      </c>
      <c r="B51" s="12" t="str">
        <f t="shared" ca="1" si="32"/>
        <v/>
      </c>
      <c r="C51" s="13" t="str">
        <f t="shared" ca="1" si="33"/>
        <v/>
      </c>
      <c r="D51" s="13" t="str">
        <f t="shared" ca="1" si="34"/>
        <v/>
      </c>
      <c r="E51" s="13" t="str">
        <f t="shared" ca="1" si="35"/>
        <v/>
      </c>
      <c r="F51" s="14" t="str">
        <f t="shared" ca="1" si="36"/>
        <v/>
      </c>
      <c r="G51" s="15" t="str">
        <f ca="1">IF($C$1="ALL",IF(INDIRECT(AH51)="","",IF(INDIRECT(AG51)&gt;MAX(Budget!$B$2,Budget!$E$2),"","Y")),IF(ISERR(FIND($C$1,INDIRECT(AH51))),"",IF(INDIRECT(AG51)&gt;MAX(Budget!$B$2,Budget!$E$2),"","Y")))</f>
        <v/>
      </c>
      <c r="H51" s="15">
        <f t="shared" si="37"/>
        <v>51</v>
      </c>
      <c r="I51" s="15" t="e">
        <f t="shared" ca="1" si="38"/>
        <v>#N/A</v>
      </c>
      <c r="J51" s="15" t="e">
        <f t="shared" ca="1" si="39"/>
        <v>#N/A</v>
      </c>
      <c r="K51" s="15" t="e">
        <f ca="1">CONCATENATE("G",J50+1,":I",'ALL JOBS'!$K$10)</f>
        <v>#N/A</v>
      </c>
      <c r="L51" s="15" t="e">
        <f t="shared" ca="1" si="14"/>
        <v>#N/A</v>
      </c>
      <c r="M51" s="15" t="e">
        <f t="shared" ca="1" si="3"/>
        <v>#N/A</v>
      </c>
      <c r="N51" s="15" t="e">
        <f t="shared" ca="1" si="4"/>
        <v>#N/A</v>
      </c>
      <c r="O51" s="15" t="e">
        <f t="shared" ca="1" si="5"/>
        <v>#N/A</v>
      </c>
      <c r="P51" s="15" t="e">
        <f t="shared" ca="1" si="6"/>
        <v>#N/A</v>
      </c>
      <c r="Q51" s="15" t="e">
        <f t="shared" ca="1" si="7"/>
        <v>#N/A</v>
      </c>
      <c r="R51" s="15" t="e">
        <f t="shared" ca="1" si="8"/>
        <v>#N/A</v>
      </c>
      <c r="S51" s="13" t="str">
        <f t="shared" ca="1" si="40"/>
        <v/>
      </c>
      <c r="T51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51" s="15">
        <f t="shared" si="41"/>
        <v>51</v>
      </c>
      <c r="V51" s="15" t="e">
        <f t="shared" ca="1" si="42"/>
        <v>#N/A</v>
      </c>
      <c r="W51" s="15" t="e">
        <f t="shared" ca="1" si="43"/>
        <v>#N/A</v>
      </c>
      <c r="X51" s="15" t="e">
        <f t="shared" ca="1" si="15"/>
        <v>#N/A</v>
      </c>
      <c r="Y51" s="15" t="e">
        <f t="shared" ca="1" si="9"/>
        <v>#N/A</v>
      </c>
      <c r="Z51" s="15" t="e">
        <f t="shared" ca="1" si="10"/>
        <v>#N/A</v>
      </c>
      <c r="AA51" s="15" t="e">
        <f t="shared" ca="1" si="11"/>
        <v>#N/A</v>
      </c>
      <c r="AB51" s="15" t="e">
        <f t="shared" ca="1" si="16"/>
        <v>#N/A</v>
      </c>
      <c r="AC51" s="15" t="e">
        <f t="shared" ca="1" si="12"/>
        <v>#N/A</v>
      </c>
      <c r="AD51" s="15" t="e">
        <f t="shared" ca="1" si="13"/>
        <v>#N/A</v>
      </c>
      <c r="AF51" s="15" t="str">
        <f t="shared" ca="1" si="44"/>
        <v/>
      </c>
      <c r="AG51" s="15" t="str">
        <f t="shared" si="45"/>
        <v>'ALL JOBS'!D57</v>
      </c>
      <c r="AH51" s="15" t="str">
        <f t="shared" si="46"/>
        <v>'ALL JOBS'!F57</v>
      </c>
      <c r="AJ51" s="15" t="e">
        <f ca="1">(OR(INDIRECT(L51)=MAX('ALL JOBS'!A:A),AJ50))</f>
        <v>#N/A</v>
      </c>
    </row>
    <row r="52" spans="1:36" ht="30" customHeight="1">
      <c r="A52" s="15" t="str">
        <f t="shared" ca="1" si="31"/>
        <v/>
      </c>
      <c r="B52" s="12" t="str">
        <f t="shared" ca="1" si="32"/>
        <v/>
      </c>
      <c r="C52" s="13" t="str">
        <f t="shared" ca="1" si="33"/>
        <v/>
      </c>
      <c r="D52" s="13" t="str">
        <f t="shared" ca="1" si="34"/>
        <v/>
      </c>
      <c r="E52" s="13" t="str">
        <f t="shared" ca="1" si="35"/>
        <v/>
      </c>
      <c r="F52" s="14" t="str">
        <f t="shared" ca="1" si="36"/>
        <v/>
      </c>
      <c r="G52" s="15" t="str">
        <f ca="1">IF($C$1="ALL",IF(INDIRECT(AH52)="","",IF(INDIRECT(AG52)&gt;MAX(Budget!$B$2,Budget!$E$2),"","Y")),IF(ISERR(FIND($C$1,INDIRECT(AH52))),"",IF(INDIRECT(AG52)&gt;MAX(Budget!$B$2,Budget!$E$2),"","Y")))</f>
        <v/>
      </c>
      <c r="H52" s="15">
        <f t="shared" si="37"/>
        <v>52</v>
      </c>
      <c r="I52" s="15" t="e">
        <f t="shared" ca="1" si="38"/>
        <v>#N/A</v>
      </c>
      <c r="J52" s="15" t="e">
        <f t="shared" ca="1" si="39"/>
        <v>#N/A</v>
      </c>
      <c r="K52" s="15" t="e">
        <f ca="1">CONCATENATE("G",J51+1,":I",'ALL JOBS'!$K$10)</f>
        <v>#N/A</v>
      </c>
      <c r="L52" s="15" t="e">
        <f t="shared" ca="1" si="14"/>
        <v>#N/A</v>
      </c>
      <c r="M52" s="15" t="e">
        <f t="shared" ca="1" si="3"/>
        <v>#N/A</v>
      </c>
      <c r="N52" s="15" t="e">
        <f t="shared" ca="1" si="4"/>
        <v>#N/A</v>
      </c>
      <c r="O52" s="15" t="e">
        <f t="shared" ca="1" si="5"/>
        <v>#N/A</v>
      </c>
      <c r="P52" s="15" t="e">
        <f t="shared" ca="1" si="6"/>
        <v>#N/A</v>
      </c>
      <c r="Q52" s="15" t="e">
        <f t="shared" ca="1" si="7"/>
        <v>#N/A</v>
      </c>
      <c r="R52" s="15" t="e">
        <f t="shared" ca="1" si="8"/>
        <v>#N/A</v>
      </c>
      <c r="S52" s="13" t="str">
        <f t="shared" ca="1" si="40"/>
        <v/>
      </c>
      <c r="T52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52" s="15">
        <f t="shared" si="41"/>
        <v>52</v>
      </c>
      <c r="V52" s="15" t="e">
        <f t="shared" ca="1" si="42"/>
        <v>#N/A</v>
      </c>
      <c r="W52" s="15" t="e">
        <f t="shared" ca="1" si="43"/>
        <v>#N/A</v>
      </c>
      <c r="X52" s="15" t="e">
        <f t="shared" ca="1" si="15"/>
        <v>#N/A</v>
      </c>
      <c r="Y52" s="15" t="e">
        <f t="shared" ca="1" si="9"/>
        <v>#N/A</v>
      </c>
      <c r="Z52" s="15" t="e">
        <f t="shared" ca="1" si="10"/>
        <v>#N/A</v>
      </c>
      <c r="AA52" s="15" t="e">
        <f t="shared" ca="1" si="11"/>
        <v>#N/A</v>
      </c>
      <c r="AB52" s="15" t="e">
        <f t="shared" ca="1" si="16"/>
        <v>#N/A</v>
      </c>
      <c r="AC52" s="15" t="e">
        <f t="shared" ca="1" si="12"/>
        <v>#N/A</v>
      </c>
      <c r="AD52" s="15" t="e">
        <f t="shared" ca="1" si="13"/>
        <v>#N/A</v>
      </c>
      <c r="AF52" s="15" t="str">
        <f t="shared" ca="1" si="44"/>
        <v/>
      </c>
      <c r="AG52" s="15" t="str">
        <f t="shared" si="45"/>
        <v>'ALL JOBS'!D58</v>
      </c>
      <c r="AH52" s="15" t="str">
        <f t="shared" si="46"/>
        <v>'ALL JOBS'!F58</v>
      </c>
      <c r="AJ52" s="15" t="e">
        <f ca="1">(OR(INDIRECT(L52)=MAX('ALL JOBS'!A:A),AJ51))</f>
        <v>#N/A</v>
      </c>
    </row>
    <row r="53" spans="1:36" ht="30" customHeight="1">
      <c r="A53" s="15" t="str">
        <f t="shared" ca="1" si="31"/>
        <v/>
      </c>
      <c r="B53" s="12" t="str">
        <f t="shared" ca="1" si="32"/>
        <v/>
      </c>
      <c r="C53" s="13" t="str">
        <f t="shared" ca="1" si="33"/>
        <v/>
      </c>
      <c r="D53" s="13" t="str">
        <f t="shared" ca="1" si="34"/>
        <v/>
      </c>
      <c r="E53" s="13" t="str">
        <f t="shared" ca="1" si="35"/>
        <v/>
      </c>
      <c r="F53" s="14" t="str">
        <f t="shared" ca="1" si="36"/>
        <v/>
      </c>
      <c r="G53" s="15" t="str">
        <f ca="1">IF($C$1="ALL",IF(INDIRECT(AH53)="","",IF(INDIRECT(AG53)&gt;MAX(Budget!$B$2,Budget!$E$2),"","Y")),IF(ISERR(FIND($C$1,INDIRECT(AH53))),"",IF(INDIRECT(AG53)&gt;MAX(Budget!$B$2,Budget!$E$2),"","Y")))</f>
        <v/>
      </c>
      <c r="H53" s="15">
        <f t="shared" si="37"/>
        <v>53</v>
      </c>
      <c r="I53" s="15" t="e">
        <f t="shared" ca="1" si="38"/>
        <v>#N/A</v>
      </c>
      <c r="J53" s="15" t="e">
        <f t="shared" ca="1" si="39"/>
        <v>#N/A</v>
      </c>
      <c r="K53" s="15" t="e">
        <f ca="1">CONCATENATE("G",J52+1,":I",'ALL JOBS'!$K$10)</f>
        <v>#N/A</v>
      </c>
      <c r="L53" s="15" t="e">
        <f t="shared" ca="1" si="14"/>
        <v>#N/A</v>
      </c>
      <c r="M53" s="15" t="e">
        <f t="shared" ca="1" si="3"/>
        <v>#N/A</v>
      </c>
      <c r="N53" s="15" t="e">
        <f t="shared" ca="1" si="4"/>
        <v>#N/A</v>
      </c>
      <c r="O53" s="15" t="e">
        <f t="shared" ca="1" si="5"/>
        <v>#N/A</v>
      </c>
      <c r="P53" s="15" t="e">
        <f t="shared" ca="1" si="6"/>
        <v>#N/A</v>
      </c>
      <c r="Q53" s="15" t="e">
        <f t="shared" ca="1" si="7"/>
        <v>#N/A</v>
      </c>
      <c r="R53" s="15" t="e">
        <f t="shared" ca="1" si="8"/>
        <v>#N/A</v>
      </c>
      <c r="S53" s="13" t="str">
        <f t="shared" ca="1" si="40"/>
        <v/>
      </c>
      <c r="T53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53" s="15">
        <f t="shared" si="41"/>
        <v>53</v>
      </c>
      <c r="V53" s="15" t="e">
        <f t="shared" ca="1" si="42"/>
        <v>#N/A</v>
      </c>
      <c r="W53" s="15" t="e">
        <f t="shared" ca="1" si="43"/>
        <v>#N/A</v>
      </c>
      <c r="X53" s="15" t="e">
        <f t="shared" ca="1" si="15"/>
        <v>#N/A</v>
      </c>
      <c r="Y53" s="15" t="e">
        <f t="shared" ca="1" si="9"/>
        <v>#N/A</v>
      </c>
      <c r="Z53" s="15" t="e">
        <f t="shared" ca="1" si="10"/>
        <v>#N/A</v>
      </c>
      <c r="AA53" s="15" t="e">
        <f t="shared" ca="1" si="11"/>
        <v>#N/A</v>
      </c>
      <c r="AB53" s="15" t="e">
        <f t="shared" ca="1" si="16"/>
        <v>#N/A</v>
      </c>
      <c r="AC53" s="15" t="e">
        <f t="shared" ca="1" si="12"/>
        <v>#N/A</v>
      </c>
      <c r="AD53" s="15" t="e">
        <f t="shared" ca="1" si="13"/>
        <v>#N/A</v>
      </c>
      <c r="AF53" s="15" t="str">
        <f t="shared" ca="1" si="44"/>
        <v/>
      </c>
      <c r="AG53" s="15" t="str">
        <f t="shared" si="45"/>
        <v>'ALL JOBS'!D59</v>
      </c>
      <c r="AH53" s="15" t="str">
        <f t="shared" si="46"/>
        <v>'ALL JOBS'!F59</v>
      </c>
      <c r="AJ53" s="15" t="e">
        <f ca="1">(OR(INDIRECT(L53)=MAX('ALL JOBS'!A:A),AJ52))</f>
        <v>#N/A</v>
      </c>
    </row>
    <row r="54" spans="1:36" ht="30" customHeight="1">
      <c r="A54" s="15" t="str">
        <f t="shared" ca="1" si="31"/>
        <v/>
      </c>
      <c r="B54" s="12" t="str">
        <f t="shared" ca="1" si="32"/>
        <v/>
      </c>
      <c r="C54" s="13" t="str">
        <f t="shared" ca="1" si="33"/>
        <v/>
      </c>
      <c r="D54" s="13" t="str">
        <f t="shared" ca="1" si="34"/>
        <v/>
      </c>
      <c r="E54" s="13" t="str">
        <f t="shared" ca="1" si="35"/>
        <v/>
      </c>
      <c r="F54" s="14" t="str">
        <f t="shared" ca="1" si="36"/>
        <v/>
      </c>
      <c r="G54" s="15" t="str">
        <f ca="1">IF($C$1="ALL",IF(INDIRECT(AH54)="","",IF(INDIRECT(AG54)&gt;MAX(Budget!$B$2,Budget!$E$2),"","Y")),IF(ISERR(FIND($C$1,INDIRECT(AH54))),"",IF(INDIRECT(AG54)&gt;MAX(Budget!$B$2,Budget!$E$2),"","Y")))</f>
        <v/>
      </c>
      <c r="H54" s="15">
        <f t="shared" si="37"/>
        <v>54</v>
      </c>
      <c r="I54" s="15" t="e">
        <f t="shared" ca="1" si="38"/>
        <v>#N/A</v>
      </c>
      <c r="J54" s="15" t="e">
        <f t="shared" ca="1" si="39"/>
        <v>#N/A</v>
      </c>
      <c r="K54" s="15" t="e">
        <f ca="1">CONCATENATE("G",J53+1,":I",'ALL JOBS'!$K$10)</f>
        <v>#N/A</v>
      </c>
      <c r="L54" s="15" t="e">
        <f t="shared" ca="1" si="14"/>
        <v>#N/A</v>
      </c>
      <c r="M54" s="15" t="e">
        <f t="shared" ca="1" si="3"/>
        <v>#N/A</v>
      </c>
      <c r="N54" s="15" t="e">
        <f t="shared" ca="1" si="4"/>
        <v>#N/A</v>
      </c>
      <c r="O54" s="15" t="e">
        <f t="shared" ca="1" si="5"/>
        <v>#N/A</v>
      </c>
      <c r="P54" s="15" t="e">
        <f t="shared" ca="1" si="6"/>
        <v>#N/A</v>
      </c>
      <c r="Q54" s="15" t="e">
        <f t="shared" ca="1" si="7"/>
        <v>#N/A</v>
      </c>
      <c r="R54" s="15" t="e">
        <f t="shared" ca="1" si="8"/>
        <v>#N/A</v>
      </c>
      <c r="S54" s="13" t="str">
        <f t="shared" ca="1" si="40"/>
        <v/>
      </c>
      <c r="T54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54" s="15">
        <f t="shared" si="41"/>
        <v>54</v>
      </c>
      <c r="V54" s="15" t="e">
        <f t="shared" ca="1" si="42"/>
        <v>#N/A</v>
      </c>
      <c r="W54" s="15" t="e">
        <f t="shared" ca="1" si="43"/>
        <v>#N/A</v>
      </c>
      <c r="X54" s="15" t="e">
        <f t="shared" ca="1" si="15"/>
        <v>#N/A</v>
      </c>
      <c r="Y54" s="15" t="e">
        <f t="shared" ca="1" si="9"/>
        <v>#N/A</v>
      </c>
      <c r="Z54" s="15" t="e">
        <f t="shared" ca="1" si="10"/>
        <v>#N/A</v>
      </c>
      <c r="AA54" s="15" t="e">
        <f t="shared" ca="1" si="11"/>
        <v>#N/A</v>
      </c>
      <c r="AB54" s="15" t="e">
        <f t="shared" ca="1" si="16"/>
        <v>#N/A</v>
      </c>
      <c r="AC54" s="15" t="e">
        <f t="shared" ca="1" si="12"/>
        <v>#N/A</v>
      </c>
      <c r="AD54" s="15" t="e">
        <f t="shared" ca="1" si="13"/>
        <v>#N/A</v>
      </c>
      <c r="AF54" s="15" t="str">
        <f t="shared" ca="1" si="44"/>
        <v/>
      </c>
      <c r="AG54" s="15" t="str">
        <f t="shared" si="45"/>
        <v>'ALL JOBS'!D60</v>
      </c>
      <c r="AH54" s="15" t="str">
        <f t="shared" si="46"/>
        <v>'ALL JOBS'!F60</v>
      </c>
      <c r="AJ54" s="15" t="e">
        <f ca="1">(OR(INDIRECT(L54)=MAX('ALL JOBS'!A:A),AJ53))</f>
        <v>#N/A</v>
      </c>
    </row>
    <row r="55" spans="1:36" ht="30" customHeight="1">
      <c r="A55" s="15" t="str">
        <f t="shared" ca="1" si="31"/>
        <v/>
      </c>
      <c r="B55" s="12" t="str">
        <f t="shared" ca="1" si="32"/>
        <v/>
      </c>
      <c r="C55" s="13" t="str">
        <f t="shared" ca="1" si="33"/>
        <v/>
      </c>
      <c r="D55" s="13" t="str">
        <f t="shared" ca="1" si="34"/>
        <v/>
      </c>
      <c r="E55" s="13" t="str">
        <f t="shared" ca="1" si="35"/>
        <v/>
      </c>
      <c r="F55" s="14" t="str">
        <f t="shared" ca="1" si="36"/>
        <v/>
      </c>
      <c r="G55" s="15" t="str">
        <f ca="1">IF($C$1="ALL",IF(INDIRECT(AH55)="","",IF(INDIRECT(AG55)&gt;MAX(Budget!$B$2,Budget!$E$2),"","Y")),IF(ISERR(FIND($C$1,INDIRECT(AH55))),"",IF(INDIRECT(AG55)&gt;MAX(Budget!$B$2,Budget!$E$2),"","Y")))</f>
        <v/>
      </c>
      <c r="H55" s="15">
        <f t="shared" si="37"/>
        <v>55</v>
      </c>
      <c r="I55" s="15" t="e">
        <f t="shared" ca="1" si="38"/>
        <v>#N/A</v>
      </c>
      <c r="J55" s="15" t="e">
        <f t="shared" ca="1" si="39"/>
        <v>#N/A</v>
      </c>
      <c r="K55" s="15" t="e">
        <f ca="1">CONCATENATE("G",J54+1,":I",'ALL JOBS'!$K$10)</f>
        <v>#N/A</v>
      </c>
      <c r="L55" s="15" t="e">
        <f t="shared" ca="1" si="14"/>
        <v>#N/A</v>
      </c>
      <c r="M55" s="15" t="e">
        <f t="shared" ca="1" si="3"/>
        <v>#N/A</v>
      </c>
      <c r="N55" s="15" t="e">
        <f t="shared" ca="1" si="4"/>
        <v>#N/A</v>
      </c>
      <c r="O55" s="15" t="e">
        <f t="shared" ca="1" si="5"/>
        <v>#N/A</v>
      </c>
      <c r="P55" s="15" t="e">
        <f t="shared" ca="1" si="6"/>
        <v>#N/A</v>
      </c>
      <c r="Q55" s="15" t="e">
        <f t="shared" ca="1" si="7"/>
        <v>#N/A</v>
      </c>
      <c r="R55" s="15" t="e">
        <f t="shared" ca="1" si="8"/>
        <v>#N/A</v>
      </c>
      <c r="S55" s="13" t="str">
        <f t="shared" ca="1" si="40"/>
        <v/>
      </c>
      <c r="T55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55" s="15">
        <f t="shared" si="41"/>
        <v>55</v>
      </c>
      <c r="V55" s="15" t="e">
        <f t="shared" ca="1" si="42"/>
        <v>#N/A</v>
      </c>
      <c r="W55" s="15" t="e">
        <f t="shared" ca="1" si="43"/>
        <v>#N/A</v>
      </c>
      <c r="X55" s="15" t="e">
        <f t="shared" ca="1" si="15"/>
        <v>#N/A</v>
      </c>
      <c r="Y55" s="15" t="e">
        <f t="shared" ca="1" si="9"/>
        <v>#N/A</v>
      </c>
      <c r="Z55" s="15" t="e">
        <f t="shared" ca="1" si="10"/>
        <v>#N/A</v>
      </c>
      <c r="AA55" s="15" t="e">
        <f t="shared" ca="1" si="11"/>
        <v>#N/A</v>
      </c>
      <c r="AB55" s="15" t="e">
        <f t="shared" ca="1" si="16"/>
        <v>#N/A</v>
      </c>
      <c r="AC55" s="15" t="e">
        <f t="shared" ca="1" si="12"/>
        <v>#N/A</v>
      </c>
      <c r="AD55" s="15" t="e">
        <f t="shared" ca="1" si="13"/>
        <v>#N/A</v>
      </c>
      <c r="AF55" s="15" t="str">
        <f t="shared" ca="1" si="44"/>
        <v/>
      </c>
      <c r="AG55" s="15" t="str">
        <f t="shared" si="45"/>
        <v>'ALL JOBS'!D61</v>
      </c>
      <c r="AH55" s="15" t="str">
        <f t="shared" si="46"/>
        <v>'ALL JOBS'!F61</v>
      </c>
      <c r="AJ55" s="15" t="e">
        <f ca="1">(OR(INDIRECT(L55)=MAX('ALL JOBS'!A:A),AJ54))</f>
        <v>#N/A</v>
      </c>
    </row>
    <row r="56" spans="1:36" ht="30" customHeight="1">
      <c r="A56" s="15" t="str">
        <f t="shared" ca="1" si="31"/>
        <v/>
      </c>
      <c r="B56" s="12" t="str">
        <f t="shared" ca="1" si="32"/>
        <v/>
      </c>
      <c r="C56" s="13" t="str">
        <f t="shared" ca="1" si="33"/>
        <v/>
      </c>
      <c r="D56" s="13" t="str">
        <f t="shared" ca="1" si="34"/>
        <v/>
      </c>
      <c r="E56" s="13" t="str">
        <f t="shared" ca="1" si="35"/>
        <v/>
      </c>
      <c r="F56" s="14" t="str">
        <f t="shared" ca="1" si="36"/>
        <v/>
      </c>
      <c r="G56" s="15" t="str">
        <f ca="1">IF($C$1="ALL",IF(INDIRECT(AH56)="","",IF(INDIRECT(AG56)&gt;MAX(Budget!$B$2,Budget!$E$2),"","Y")),IF(ISERR(FIND($C$1,INDIRECT(AH56))),"",IF(INDIRECT(AG56)&gt;MAX(Budget!$B$2,Budget!$E$2),"","Y")))</f>
        <v/>
      </c>
      <c r="H56" s="15">
        <f t="shared" si="37"/>
        <v>56</v>
      </c>
      <c r="I56" s="15" t="e">
        <f t="shared" ca="1" si="38"/>
        <v>#N/A</v>
      </c>
      <c r="J56" s="15" t="e">
        <f t="shared" ca="1" si="39"/>
        <v>#N/A</v>
      </c>
      <c r="K56" s="15" t="e">
        <f ca="1">CONCATENATE("G",J55+1,":I",'ALL JOBS'!$K$10)</f>
        <v>#N/A</v>
      </c>
      <c r="L56" s="15" t="e">
        <f t="shared" ca="1" si="14"/>
        <v>#N/A</v>
      </c>
      <c r="M56" s="15" t="e">
        <f t="shared" ca="1" si="3"/>
        <v>#N/A</v>
      </c>
      <c r="N56" s="15" t="e">
        <f t="shared" ca="1" si="4"/>
        <v>#N/A</v>
      </c>
      <c r="O56" s="15" t="e">
        <f t="shared" ca="1" si="5"/>
        <v>#N/A</v>
      </c>
      <c r="P56" s="15" t="e">
        <f t="shared" ca="1" si="6"/>
        <v>#N/A</v>
      </c>
      <c r="Q56" s="15" t="e">
        <f t="shared" ca="1" si="7"/>
        <v>#N/A</v>
      </c>
      <c r="R56" s="15" t="e">
        <f t="shared" ca="1" si="8"/>
        <v>#N/A</v>
      </c>
      <c r="S56" s="13" t="str">
        <f t="shared" ca="1" si="40"/>
        <v/>
      </c>
      <c r="T56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56" s="15">
        <f t="shared" si="41"/>
        <v>56</v>
      </c>
      <c r="V56" s="15" t="e">
        <f t="shared" ca="1" si="42"/>
        <v>#N/A</v>
      </c>
      <c r="W56" s="15" t="e">
        <f t="shared" ca="1" si="43"/>
        <v>#N/A</v>
      </c>
      <c r="X56" s="15" t="e">
        <f t="shared" ca="1" si="15"/>
        <v>#N/A</v>
      </c>
      <c r="Y56" s="15" t="e">
        <f t="shared" ca="1" si="9"/>
        <v>#N/A</v>
      </c>
      <c r="Z56" s="15" t="e">
        <f t="shared" ca="1" si="10"/>
        <v>#N/A</v>
      </c>
      <c r="AA56" s="15" t="e">
        <f t="shared" ca="1" si="11"/>
        <v>#N/A</v>
      </c>
      <c r="AB56" s="15" t="e">
        <f t="shared" ca="1" si="16"/>
        <v>#N/A</v>
      </c>
      <c r="AC56" s="15" t="e">
        <f t="shared" ca="1" si="12"/>
        <v>#N/A</v>
      </c>
      <c r="AD56" s="15" t="e">
        <f t="shared" ca="1" si="13"/>
        <v>#N/A</v>
      </c>
      <c r="AF56" s="15" t="str">
        <f t="shared" ca="1" si="44"/>
        <v/>
      </c>
      <c r="AG56" s="15" t="str">
        <f t="shared" si="45"/>
        <v>'ALL JOBS'!D62</v>
      </c>
      <c r="AH56" s="15" t="str">
        <f t="shared" si="46"/>
        <v>'ALL JOBS'!F62</v>
      </c>
      <c r="AJ56" s="15" t="e">
        <f ca="1">(OR(INDIRECT(L56)=MAX('ALL JOBS'!A:A),AJ55))</f>
        <v>#N/A</v>
      </c>
    </row>
    <row r="57" spans="1:36" ht="30" customHeight="1">
      <c r="A57" s="15" t="str">
        <f t="shared" ca="1" si="31"/>
        <v/>
      </c>
      <c r="B57" s="12" t="str">
        <f t="shared" ca="1" si="32"/>
        <v/>
      </c>
      <c r="C57" s="13" t="str">
        <f t="shared" ca="1" si="33"/>
        <v/>
      </c>
      <c r="D57" s="13" t="str">
        <f t="shared" ca="1" si="34"/>
        <v/>
      </c>
      <c r="E57" s="13" t="str">
        <f t="shared" ca="1" si="35"/>
        <v/>
      </c>
      <c r="F57" s="14" t="str">
        <f t="shared" ca="1" si="36"/>
        <v/>
      </c>
      <c r="G57" s="15" t="str">
        <f ca="1">IF($C$1="ALL",IF(INDIRECT(AH57)="","",IF(INDIRECT(AG57)&gt;MAX(Budget!$B$2,Budget!$E$2),"","Y")),IF(ISERR(FIND($C$1,INDIRECT(AH57))),"",IF(INDIRECT(AG57)&gt;MAX(Budget!$B$2,Budget!$E$2),"","Y")))</f>
        <v/>
      </c>
      <c r="H57" s="15">
        <f t="shared" si="37"/>
        <v>57</v>
      </c>
      <c r="I57" s="15" t="e">
        <f t="shared" ca="1" si="38"/>
        <v>#N/A</v>
      </c>
      <c r="J57" s="15" t="e">
        <f t="shared" ca="1" si="39"/>
        <v>#N/A</v>
      </c>
      <c r="K57" s="15" t="e">
        <f ca="1">CONCATENATE("G",J56+1,":I",'ALL JOBS'!$K$10)</f>
        <v>#N/A</v>
      </c>
      <c r="L57" s="15" t="e">
        <f t="shared" ca="1" si="14"/>
        <v>#N/A</v>
      </c>
      <c r="M57" s="15" t="e">
        <f t="shared" ca="1" si="3"/>
        <v>#N/A</v>
      </c>
      <c r="N57" s="15" t="e">
        <f t="shared" ca="1" si="4"/>
        <v>#N/A</v>
      </c>
      <c r="O57" s="15" t="e">
        <f t="shared" ca="1" si="5"/>
        <v>#N/A</v>
      </c>
      <c r="P57" s="15" t="e">
        <f t="shared" ca="1" si="6"/>
        <v>#N/A</v>
      </c>
      <c r="Q57" s="15" t="e">
        <f t="shared" ca="1" si="7"/>
        <v>#N/A</v>
      </c>
      <c r="R57" s="15" t="e">
        <f t="shared" ca="1" si="8"/>
        <v>#N/A</v>
      </c>
      <c r="S57" s="13" t="str">
        <f t="shared" ca="1" si="40"/>
        <v/>
      </c>
      <c r="T57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57" s="15">
        <f t="shared" si="41"/>
        <v>57</v>
      </c>
      <c r="V57" s="15" t="e">
        <f t="shared" ca="1" si="42"/>
        <v>#N/A</v>
      </c>
      <c r="W57" s="15" t="e">
        <f t="shared" ca="1" si="43"/>
        <v>#N/A</v>
      </c>
      <c r="X57" s="15" t="e">
        <f t="shared" ca="1" si="15"/>
        <v>#N/A</v>
      </c>
      <c r="Y57" s="15" t="e">
        <f t="shared" ca="1" si="9"/>
        <v>#N/A</v>
      </c>
      <c r="Z57" s="15" t="e">
        <f t="shared" ca="1" si="10"/>
        <v>#N/A</v>
      </c>
      <c r="AA57" s="15" t="e">
        <f t="shared" ca="1" si="11"/>
        <v>#N/A</v>
      </c>
      <c r="AB57" s="15" t="e">
        <f t="shared" ca="1" si="16"/>
        <v>#N/A</v>
      </c>
      <c r="AC57" s="15" t="e">
        <f t="shared" ca="1" si="12"/>
        <v>#N/A</v>
      </c>
      <c r="AD57" s="15" t="e">
        <f t="shared" ca="1" si="13"/>
        <v>#N/A</v>
      </c>
      <c r="AF57" s="15" t="str">
        <f t="shared" ca="1" si="44"/>
        <v/>
      </c>
      <c r="AG57" s="15" t="str">
        <f t="shared" si="45"/>
        <v>'ALL JOBS'!D63</v>
      </c>
      <c r="AH57" s="15" t="str">
        <f t="shared" si="46"/>
        <v>'ALL JOBS'!F63</v>
      </c>
      <c r="AJ57" s="15" t="e">
        <f ca="1">(OR(INDIRECT(L57)=MAX('ALL JOBS'!A:A),AJ56))</f>
        <v>#N/A</v>
      </c>
    </row>
    <row r="58" spans="1:36" ht="30" customHeight="1">
      <c r="A58" s="15" t="str">
        <f t="shared" ca="1" si="31"/>
        <v/>
      </c>
      <c r="B58" s="12" t="str">
        <f t="shared" ca="1" si="32"/>
        <v/>
      </c>
      <c r="C58" s="13" t="str">
        <f t="shared" ca="1" si="33"/>
        <v/>
      </c>
      <c r="D58" s="13" t="str">
        <f t="shared" ca="1" si="34"/>
        <v/>
      </c>
      <c r="E58" s="13" t="str">
        <f t="shared" ca="1" si="35"/>
        <v/>
      </c>
      <c r="F58" s="14" t="str">
        <f t="shared" ca="1" si="36"/>
        <v/>
      </c>
      <c r="G58" s="15" t="str">
        <f ca="1">IF($C$1="ALL",IF(INDIRECT(AH58)="","",IF(INDIRECT(AG58)&gt;MAX(Budget!$B$2,Budget!$E$2),"","Y")),IF(ISERR(FIND($C$1,INDIRECT(AH58))),"",IF(INDIRECT(AG58)&gt;MAX(Budget!$B$2,Budget!$E$2),"","Y")))</f>
        <v/>
      </c>
      <c r="H58" s="15">
        <f t="shared" si="37"/>
        <v>58</v>
      </c>
      <c r="I58" s="15" t="e">
        <f t="shared" ca="1" si="38"/>
        <v>#N/A</v>
      </c>
      <c r="J58" s="15" t="e">
        <f t="shared" ca="1" si="39"/>
        <v>#N/A</v>
      </c>
      <c r="K58" s="15" t="e">
        <f ca="1">CONCATENATE("G",J57+1,":I",'ALL JOBS'!$K$10)</f>
        <v>#N/A</v>
      </c>
      <c r="L58" s="15" t="e">
        <f t="shared" ca="1" si="14"/>
        <v>#N/A</v>
      </c>
      <c r="M58" s="15" t="e">
        <f t="shared" ca="1" si="3"/>
        <v>#N/A</v>
      </c>
      <c r="N58" s="15" t="e">
        <f t="shared" ca="1" si="4"/>
        <v>#N/A</v>
      </c>
      <c r="O58" s="15" t="e">
        <f t="shared" ca="1" si="5"/>
        <v>#N/A</v>
      </c>
      <c r="P58" s="15" t="e">
        <f t="shared" ca="1" si="6"/>
        <v>#N/A</v>
      </c>
      <c r="Q58" s="15" t="e">
        <f t="shared" ca="1" si="7"/>
        <v>#N/A</v>
      </c>
      <c r="R58" s="15" t="e">
        <f t="shared" ca="1" si="8"/>
        <v>#N/A</v>
      </c>
      <c r="S58" s="13" t="str">
        <f t="shared" ca="1" si="40"/>
        <v/>
      </c>
      <c r="T58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58" s="15">
        <f t="shared" si="41"/>
        <v>58</v>
      </c>
      <c r="V58" s="15" t="e">
        <f t="shared" ca="1" si="42"/>
        <v>#N/A</v>
      </c>
      <c r="W58" s="15" t="e">
        <f t="shared" ca="1" si="43"/>
        <v>#N/A</v>
      </c>
      <c r="X58" s="15" t="e">
        <f t="shared" ca="1" si="15"/>
        <v>#N/A</v>
      </c>
      <c r="Y58" s="15" t="e">
        <f t="shared" ca="1" si="9"/>
        <v>#N/A</v>
      </c>
      <c r="Z58" s="15" t="e">
        <f t="shared" ca="1" si="10"/>
        <v>#N/A</v>
      </c>
      <c r="AA58" s="15" t="e">
        <f t="shared" ca="1" si="11"/>
        <v>#N/A</v>
      </c>
      <c r="AB58" s="15" t="e">
        <f t="shared" ca="1" si="16"/>
        <v>#N/A</v>
      </c>
      <c r="AC58" s="15" t="e">
        <f t="shared" ca="1" si="12"/>
        <v>#N/A</v>
      </c>
      <c r="AD58" s="15" t="e">
        <f t="shared" ca="1" si="13"/>
        <v>#N/A</v>
      </c>
      <c r="AF58" s="15" t="str">
        <f t="shared" ca="1" si="44"/>
        <v/>
      </c>
      <c r="AG58" s="15" t="str">
        <f t="shared" si="45"/>
        <v>'ALL JOBS'!D64</v>
      </c>
      <c r="AH58" s="15" t="str">
        <f t="shared" si="46"/>
        <v>'ALL JOBS'!F64</v>
      </c>
      <c r="AJ58" s="15" t="e">
        <f ca="1">(OR(INDIRECT(L58)=MAX('ALL JOBS'!A:A),AJ57))</f>
        <v>#N/A</v>
      </c>
    </row>
    <row r="59" spans="1:36" ht="30" customHeight="1">
      <c r="A59" s="15" t="str">
        <f t="shared" ca="1" si="31"/>
        <v/>
      </c>
      <c r="B59" s="12" t="str">
        <f t="shared" ca="1" si="32"/>
        <v/>
      </c>
      <c r="C59" s="13" t="str">
        <f t="shared" ca="1" si="33"/>
        <v/>
      </c>
      <c r="D59" s="13" t="str">
        <f t="shared" ca="1" si="34"/>
        <v/>
      </c>
      <c r="E59" s="13" t="str">
        <f t="shared" ca="1" si="35"/>
        <v/>
      </c>
      <c r="F59" s="14" t="str">
        <f t="shared" ca="1" si="36"/>
        <v/>
      </c>
      <c r="G59" s="15" t="str">
        <f ca="1">IF($C$1="ALL",IF(INDIRECT(AH59)="","",IF(INDIRECT(AG59)&gt;MAX(Budget!$B$2,Budget!$E$2),"","Y")),IF(ISERR(FIND($C$1,INDIRECT(AH59))),"",IF(INDIRECT(AG59)&gt;MAX(Budget!$B$2,Budget!$E$2),"","Y")))</f>
        <v/>
      </c>
      <c r="H59" s="15">
        <f t="shared" si="37"/>
        <v>59</v>
      </c>
      <c r="I59" s="15" t="e">
        <f t="shared" ca="1" si="38"/>
        <v>#N/A</v>
      </c>
      <c r="J59" s="15" t="e">
        <f t="shared" ca="1" si="39"/>
        <v>#N/A</v>
      </c>
      <c r="K59" s="15" t="e">
        <f ca="1">CONCATENATE("G",J58+1,":I",'ALL JOBS'!$K$10)</f>
        <v>#N/A</v>
      </c>
      <c r="L59" s="15" t="e">
        <f t="shared" ca="1" si="14"/>
        <v>#N/A</v>
      </c>
      <c r="M59" s="15" t="e">
        <f t="shared" ca="1" si="3"/>
        <v>#N/A</v>
      </c>
      <c r="N59" s="15" t="e">
        <f t="shared" ca="1" si="4"/>
        <v>#N/A</v>
      </c>
      <c r="O59" s="15" t="e">
        <f t="shared" ca="1" si="5"/>
        <v>#N/A</v>
      </c>
      <c r="P59" s="15" t="e">
        <f t="shared" ca="1" si="6"/>
        <v>#N/A</v>
      </c>
      <c r="Q59" s="15" t="e">
        <f t="shared" ca="1" si="7"/>
        <v>#N/A</v>
      </c>
      <c r="R59" s="15" t="e">
        <f t="shared" ca="1" si="8"/>
        <v>#N/A</v>
      </c>
      <c r="S59" s="13" t="str">
        <f t="shared" ca="1" si="40"/>
        <v/>
      </c>
      <c r="T59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59" s="15">
        <f t="shared" si="41"/>
        <v>59</v>
      </c>
      <c r="V59" s="15" t="e">
        <f t="shared" ca="1" si="42"/>
        <v>#N/A</v>
      </c>
      <c r="W59" s="15" t="e">
        <f t="shared" ca="1" si="43"/>
        <v>#N/A</v>
      </c>
      <c r="X59" s="15" t="e">
        <f t="shared" ca="1" si="15"/>
        <v>#N/A</v>
      </c>
      <c r="Y59" s="15" t="e">
        <f t="shared" ca="1" si="9"/>
        <v>#N/A</v>
      </c>
      <c r="Z59" s="15" t="e">
        <f t="shared" ca="1" si="10"/>
        <v>#N/A</v>
      </c>
      <c r="AA59" s="15" t="e">
        <f t="shared" ca="1" si="11"/>
        <v>#N/A</v>
      </c>
      <c r="AB59" s="15" t="e">
        <f t="shared" ca="1" si="16"/>
        <v>#N/A</v>
      </c>
      <c r="AC59" s="15" t="e">
        <f t="shared" ca="1" si="12"/>
        <v>#N/A</v>
      </c>
      <c r="AD59" s="15" t="e">
        <f t="shared" ca="1" si="13"/>
        <v>#N/A</v>
      </c>
      <c r="AF59" s="15" t="str">
        <f t="shared" ca="1" si="44"/>
        <v/>
      </c>
      <c r="AG59" s="15" t="str">
        <f t="shared" si="45"/>
        <v>'ALL JOBS'!D65</v>
      </c>
      <c r="AH59" s="15" t="str">
        <f t="shared" si="46"/>
        <v>'ALL JOBS'!F65</v>
      </c>
      <c r="AJ59" s="15" t="e">
        <f ca="1">(OR(INDIRECT(L59)=MAX('ALL JOBS'!A:A),AJ58))</f>
        <v>#N/A</v>
      </c>
    </row>
    <row r="60" spans="1:36" ht="30" customHeight="1">
      <c r="A60" s="15" t="str">
        <f t="shared" ca="1" si="31"/>
        <v/>
      </c>
      <c r="B60" s="12" t="str">
        <f t="shared" ca="1" si="32"/>
        <v/>
      </c>
      <c r="C60" s="13" t="str">
        <f t="shared" ca="1" si="33"/>
        <v/>
      </c>
      <c r="D60" s="13" t="str">
        <f t="shared" ca="1" si="34"/>
        <v/>
      </c>
      <c r="E60" s="13" t="str">
        <f t="shared" ca="1" si="35"/>
        <v/>
      </c>
      <c r="F60" s="14" t="str">
        <f t="shared" ca="1" si="36"/>
        <v/>
      </c>
      <c r="G60" s="15" t="str">
        <f ca="1">IF($C$1="ALL",IF(INDIRECT(AH60)="","",IF(INDIRECT(AG60)&gt;MAX(Budget!$B$2,Budget!$E$2),"","Y")),IF(ISERR(FIND($C$1,INDIRECT(AH60))),"",IF(INDIRECT(AG60)&gt;MAX(Budget!$B$2,Budget!$E$2),"","Y")))</f>
        <v/>
      </c>
      <c r="H60" s="15">
        <f t="shared" si="37"/>
        <v>60</v>
      </c>
      <c r="I60" s="15" t="e">
        <f t="shared" ca="1" si="38"/>
        <v>#N/A</v>
      </c>
      <c r="J60" s="15" t="e">
        <f t="shared" ca="1" si="39"/>
        <v>#N/A</v>
      </c>
      <c r="K60" s="15" t="e">
        <f ca="1">CONCATENATE("G",J59+1,":I",'ALL JOBS'!$K$10)</f>
        <v>#N/A</v>
      </c>
      <c r="L60" s="15" t="e">
        <f t="shared" ca="1" si="14"/>
        <v>#N/A</v>
      </c>
      <c r="M60" s="15" t="e">
        <f t="shared" ca="1" si="3"/>
        <v>#N/A</v>
      </c>
      <c r="N60" s="15" t="e">
        <f t="shared" ca="1" si="4"/>
        <v>#N/A</v>
      </c>
      <c r="O60" s="15" t="e">
        <f t="shared" ca="1" si="5"/>
        <v>#N/A</v>
      </c>
      <c r="P60" s="15" t="e">
        <f t="shared" ca="1" si="6"/>
        <v>#N/A</v>
      </c>
      <c r="Q60" s="15" t="e">
        <f t="shared" ca="1" si="7"/>
        <v>#N/A</v>
      </c>
      <c r="R60" s="15" t="e">
        <f t="shared" ca="1" si="8"/>
        <v>#N/A</v>
      </c>
      <c r="S60" s="13" t="str">
        <f t="shared" ca="1" si="40"/>
        <v/>
      </c>
      <c r="T60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60" s="15">
        <f t="shared" si="41"/>
        <v>60</v>
      </c>
      <c r="V60" s="15" t="e">
        <f t="shared" ca="1" si="42"/>
        <v>#N/A</v>
      </c>
      <c r="W60" s="15" t="e">
        <f t="shared" ca="1" si="43"/>
        <v>#N/A</v>
      </c>
      <c r="X60" s="15" t="e">
        <f t="shared" ca="1" si="15"/>
        <v>#N/A</v>
      </c>
      <c r="Y60" s="15" t="e">
        <f t="shared" ca="1" si="9"/>
        <v>#N/A</v>
      </c>
      <c r="Z60" s="15" t="e">
        <f t="shared" ca="1" si="10"/>
        <v>#N/A</v>
      </c>
      <c r="AA60" s="15" t="e">
        <f t="shared" ca="1" si="11"/>
        <v>#N/A</v>
      </c>
      <c r="AB60" s="15" t="e">
        <f t="shared" ca="1" si="16"/>
        <v>#N/A</v>
      </c>
      <c r="AC60" s="15" t="e">
        <f t="shared" ca="1" si="12"/>
        <v>#N/A</v>
      </c>
      <c r="AD60" s="15" t="e">
        <f t="shared" ca="1" si="13"/>
        <v>#N/A</v>
      </c>
      <c r="AF60" s="15" t="str">
        <f t="shared" ca="1" si="44"/>
        <v/>
      </c>
      <c r="AG60" s="15" t="str">
        <f t="shared" si="45"/>
        <v>'ALL JOBS'!D66</v>
      </c>
      <c r="AH60" s="15" t="str">
        <f t="shared" si="46"/>
        <v>'ALL JOBS'!F66</v>
      </c>
      <c r="AJ60" s="15" t="e">
        <f ca="1">(OR(INDIRECT(L60)=MAX('ALL JOBS'!A:A),AJ59))</f>
        <v>#N/A</v>
      </c>
    </row>
    <row r="61" spans="1:36" ht="30" customHeight="1">
      <c r="A61" s="15" t="str">
        <f t="shared" ca="1" si="31"/>
        <v/>
      </c>
      <c r="B61" s="12" t="str">
        <f t="shared" ca="1" si="32"/>
        <v/>
      </c>
      <c r="C61" s="13" t="str">
        <f t="shared" ca="1" si="33"/>
        <v/>
      </c>
      <c r="D61" s="13" t="str">
        <f t="shared" ca="1" si="34"/>
        <v/>
      </c>
      <c r="E61" s="13" t="str">
        <f t="shared" ca="1" si="35"/>
        <v/>
      </c>
      <c r="F61" s="14" t="str">
        <f t="shared" ca="1" si="36"/>
        <v/>
      </c>
      <c r="G61" s="15" t="str">
        <f ca="1">IF($C$1="ALL",IF(INDIRECT(AH61)="","",IF(INDIRECT(AG61)&gt;MAX(Budget!$B$2,Budget!$E$2),"","Y")),IF(ISERR(FIND($C$1,INDIRECT(AH61))),"",IF(INDIRECT(AG61)&gt;MAX(Budget!$B$2,Budget!$E$2),"","Y")))</f>
        <v/>
      </c>
      <c r="H61" s="15">
        <f t="shared" si="37"/>
        <v>61</v>
      </c>
      <c r="I61" s="15" t="e">
        <f t="shared" ca="1" si="38"/>
        <v>#N/A</v>
      </c>
      <c r="J61" s="15" t="e">
        <f t="shared" ca="1" si="39"/>
        <v>#N/A</v>
      </c>
      <c r="K61" s="15" t="e">
        <f ca="1">CONCATENATE("G",J60+1,":I",'ALL JOBS'!$K$10)</f>
        <v>#N/A</v>
      </c>
      <c r="L61" s="15" t="e">
        <f t="shared" ca="1" si="14"/>
        <v>#N/A</v>
      </c>
      <c r="M61" s="15" t="e">
        <f t="shared" ca="1" si="3"/>
        <v>#N/A</v>
      </c>
      <c r="N61" s="15" t="e">
        <f t="shared" ca="1" si="4"/>
        <v>#N/A</v>
      </c>
      <c r="O61" s="15" t="e">
        <f t="shared" ca="1" si="5"/>
        <v>#N/A</v>
      </c>
      <c r="P61" s="15" t="e">
        <f t="shared" ca="1" si="6"/>
        <v>#N/A</v>
      </c>
      <c r="Q61" s="15" t="e">
        <f t="shared" ca="1" si="7"/>
        <v>#N/A</v>
      </c>
      <c r="R61" s="15" t="e">
        <f t="shared" ca="1" si="8"/>
        <v>#N/A</v>
      </c>
      <c r="S61" s="13" t="str">
        <f t="shared" ca="1" si="40"/>
        <v/>
      </c>
      <c r="T61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61" s="15">
        <f t="shared" si="41"/>
        <v>61</v>
      </c>
      <c r="V61" s="15" t="e">
        <f t="shared" ca="1" si="42"/>
        <v>#N/A</v>
      </c>
      <c r="W61" s="15" t="e">
        <f t="shared" ca="1" si="43"/>
        <v>#N/A</v>
      </c>
      <c r="X61" s="15" t="e">
        <f t="shared" ca="1" si="15"/>
        <v>#N/A</v>
      </c>
      <c r="Y61" s="15" t="e">
        <f t="shared" ca="1" si="9"/>
        <v>#N/A</v>
      </c>
      <c r="Z61" s="15" t="e">
        <f t="shared" ca="1" si="10"/>
        <v>#N/A</v>
      </c>
      <c r="AA61" s="15" t="e">
        <f t="shared" ca="1" si="11"/>
        <v>#N/A</v>
      </c>
      <c r="AB61" s="15" t="e">
        <f t="shared" ca="1" si="16"/>
        <v>#N/A</v>
      </c>
      <c r="AC61" s="15" t="e">
        <f t="shared" ca="1" si="12"/>
        <v>#N/A</v>
      </c>
      <c r="AD61" s="15" t="e">
        <f t="shared" ca="1" si="13"/>
        <v>#N/A</v>
      </c>
      <c r="AF61" s="15" t="str">
        <f t="shared" ca="1" si="44"/>
        <v/>
      </c>
      <c r="AG61" s="15" t="str">
        <f t="shared" si="45"/>
        <v>'ALL JOBS'!D67</v>
      </c>
      <c r="AH61" s="15" t="str">
        <f t="shared" si="46"/>
        <v>'ALL JOBS'!F67</v>
      </c>
      <c r="AJ61" s="15" t="e">
        <f ca="1">(OR(INDIRECT(L61)=MAX('ALL JOBS'!A:A),AJ60))</f>
        <v>#N/A</v>
      </c>
    </row>
    <row r="62" spans="1:36" ht="30" customHeight="1">
      <c r="A62" s="15" t="str">
        <f t="shared" ca="1" si="31"/>
        <v/>
      </c>
      <c r="B62" s="12" t="str">
        <f t="shared" ca="1" si="32"/>
        <v/>
      </c>
      <c r="C62" s="13" t="str">
        <f t="shared" ca="1" si="33"/>
        <v/>
      </c>
      <c r="D62" s="13" t="str">
        <f t="shared" ca="1" si="34"/>
        <v/>
      </c>
      <c r="E62" s="13" t="str">
        <f t="shared" ca="1" si="35"/>
        <v/>
      </c>
      <c r="F62" s="14" t="str">
        <f t="shared" ca="1" si="36"/>
        <v/>
      </c>
      <c r="G62" s="15" t="str">
        <f ca="1">IF($C$1="ALL",IF(INDIRECT(AH62)="","",IF(INDIRECT(AG62)&gt;MAX(Budget!$B$2,Budget!$E$2),"","Y")),IF(ISERR(FIND($C$1,INDIRECT(AH62))),"",IF(INDIRECT(AG62)&gt;MAX(Budget!$B$2,Budget!$E$2),"","Y")))</f>
        <v/>
      </c>
      <c r="H62" s="15">
        <f t="shared" si="37"/>
        <v>62</v>
      </c>
      <c r="I62" s="15" t="e">
        <f t="shared" ca="1" si="38"/>
        <v>#N/A</v>
      </c>
      <c r="J62" s="15" t="e">
        <f t="shared" ca="1" si="39"/>
        <v>#N/A</v>
      </c>
      <c r="K62" s="15" t="e">
        <f ca="1">CONCATENATE("G",J61+1,":I",'ALL JOBS'!$K$10)</f>
        <v>#N/A</v>
      </c>
      <c r="L62" s="15" t="e">
        <f t="shared" ca="1" si="14"/>
        <v>#N/A</v>
      </c>
      <c r="M62" s="15" t="e">
        <f t="shared" ca="1" si="3"/>
        <v>#N/A</v>
      </c>
      <c r="N62" s="15" t="e">
        <f t="shared" ca="1" si="4"/>
        <v>#N/A</v>
      </c>
      <c r="O62" s="15" t="e">
        <f t="shared" ca="1" si="5"/>
        <v>#N/A</v>
      </c>
      <c r="P62" s="15" t="e">
        <f t="shared" ca="1" si="6"/>
        <v>#N/A</v>
      </c>
      <c r="Q62" s="15" t="e">
        <f t="shared" ca="1" si="7"/>
        <v>#N/A</v>
      </c>
      <c r="R62" s="15" t="e">
        <f t="shared" ca="1" si="8"/>
        <v>#N/A</v>
      </c>
      <c r="S62" s="13" t="str">
        <f t="shared" ca="1" si="40"/>
        <v/>
      </c>
      <c r="T62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62" s="15">
        <f t="shared" si="41"/>
        <v>62</v>
      </c>
      <c r="V62" s="15" t="e">
        <f t="shared" ca="1" si="42"/>
        <v>#N/A</v>
      </c>
      <c r="W62" s="15" t="e">
        <f t="shared" ca="1" si="43"/>
        <v>#N/A</v>
      </c>
      <c r="X62" s="15" t="e">
        <f t="shared" ca="1" si="15"/>
        <v>#N/A</v>
      </c>
      <c r="Y62" s="15" t="e">
        <f t="shared" ca="1" si="9"/>
        <v>#N/A</v>
      </c>
      <c r="Z62" s="15" t="e">
        <f t="shared" ca="1" si="10"/>
        <v>#N/A</v>
      </c>
      <c r="AA62" s="15" t="e">
        <f t="shared" ca="1" si="11"/>
        <v>#N/A</v>
      </c>
      <c r="AB62" s="15" t="e">
        <f t="shared" ca="1" si="16"/>
        <v>#N/A</v>
      </c>
      <c r="AC62" s="15" t="e">
        <f t="shared" ca="1" si="12"/>
        <v>#N/A</v>
      </c>
      <c r="AD62" s="15" t="e">
        <f t="shared" ca="1" si="13"/>
        <v>#N/A</v>
      </c>
      <c r="AF62" s="15" t="str">
        <f t="shared" ca="1" si="44"/>
        <v/>
      </c>
      <c r="AG62" s="15" t="str">
        <f t="shared" si="45"/>
        <v>'ALL JOBS'!D68</v>
      </c>
      <c r="AH62" s="15" t="str">
        <f t="shared" si="46"/>
        <v>'ALL JOBS'!F68</v>
      </c>
      <c r="AJ62" s="15" t="e">
        <f ca="1">(OR(INDIRECT(L62)=MAX('ALL JOBS'!A:A),AJ61))</f>
        <v>#N/A</v>
      </c>
    </row>
    <row r="63" spans="1:36" ht="30" customHeight="1">
      <c r="A63" s="15" t="str">
        <f t="shared" ca="1" si="31"/>
        <v/>
      </c>
      <c r="B63" s="12" t="str">
        <f t="shared" ca="1" si="32"/>
        <v/>
      </c>
      <c r="C63" s="13" t="str">
        <f t="shared" ca="1" si="33"/>
        <v/>
      </c>
      <c r="D63" s="13" t="str">
        <f t="shared" ca="1" si="34"/>
        <v/>
      </c>
      <c r="E63" s="13" t="str">
        <f t="shared" ca="1" si="35"/>
        <v/>
      </c>
      <c r="F63" s="14" t="str">
        <f t="shared" ca="1" si="36"/>
        <v/>
      </c>
      <c r="G63" s="15" t="str">
        <f ca="1">IF($C$1="ALL",IF(INDIRECT(AH63)="","",IF(INDIRECT(AG63)&gt;MAX(Budget!$B$2,Budget!$E$2),"","Y")),IF(ISERR(FIND($C$1,INDIRECT(AH63))),"",IF(INDIRECT(AG63)&gt;MAX(Budget!$B$2,Budget!$E$2),"","Y")))</f>
        <v/>
      </c>
      <c r="H63" s="15">
        <f t="shared" si="37"/>
        <v>63</v>
      </c>
      <c r="I63" s="15" t="e">
        <f t="shared" ca="1" si="38"/>
        <v>#N/A</v>
      </c>
      <c r="J63" s="15" t="e">
        <f t="shared" ca="1" si="39"/>
        <v>#N/A</v>
      </c>
      <c r="K63" s="15" t="e">
        <f ca="1">CONCATENATE("G",J62+1,":I",'ALL JOBS'!$K$10)</f>
        <v>#N/A</v>
      </c>
      <c r="L63" s="15" t="e">
        <f t="shared" ca="1" si="14"/>
        <v>#N/A</v>
      </c>
      <c r="M63" s="15" t="e">
        <f t="shared" ca="1" si="3"/>
        <v>#N/A</v>
      </c>
      <c r="N63" s="15" t="e">
        <f t="shared" ca="1" si="4"/>
        <v>#N/A</v>
      </c>
      <c r="O63" s="15" t="e">
        <f t="shared" ca="1" si="5"/>
        <v>#N/A</v>
      </c>
      <c r="P63" s="15" t="e">
        <f t="shared" ca="1" si="6"/>
        <v>#N/A</v>
      </c>
      <c r="Q63" s="15" t="e">
        <f t="shared" ca="1" si="7"/>
        <v>#N/A</v>
      </c>
      <c r="R63" s="15" t="e">
        <f t="shared" ca="1" si="8"/>
        <v>#N/A</v>
      </c>
      <c r="S63" s="13" t="str">
        <f t="shared" ca="1" si="40"/>
        <v/>
      </c>
      <c r="T63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63" s="15">
        <f t="shared" si="41"/>
        <v>63</v>
      </c>
      <c r="V63" s="15" t="e">
        <f t="shared" ca="1" si="42"/>
        <v>#N/A</v>
      </c>
      <c r="W63" s="15" t="e">
        <f t="shared" ca="1" si="43"/>
        <v>#N/A</v>
      </c>
      <c r="X63" s="15" t="e">
        <f t="shared" ca="1" si="15"/>
        <v>#N/A</v>
      </c>
      <c r="Y63" s="15" t="e">
        <f t="shared" ca="1" si="9"/>
        <v>#N/A</v>
      </c>
      <c r="Z63" s="15" t="e">
        <f t="shared" ca="1" si="10"/>
        <v>#N/A</v>
      </c>
      <c r="AA63" s="15" t="e">
        <f t="shared" ca="1" si="11"/>
        <v>#N/A</v>
      </c>
      <c r="AB63" s="15" t="e">
        <f t="shared" ca="1" si="16"/>
        <v>#N/A</v>
      </c>
      <c r="AC63" s="15" t="e">
        <f t="shared" ca="1" si="12"/>
        <v>#N/A</v>
      </c>
      <c r="AD63" s="15" t="e">
        <f t="shared" ca="1" si="13"/>
        <v>#N/A</v>
      </c>
      <c r="AF63" s="15" t="str">
        <f t="shared" ca="1" si="44"/>
        <v/>
      </c>
      <c r="AG63" s="15" t="str">
        <f t="shared" si="45"/>
        <v>'ALL JOBS'!D69</v>
      </c>
      <c r="AH63" s="15" t="str">
        <f t="shared" si="46"/>
        <v>'ALL JOBS'!F69</v>
      </c>
      <c r="AJ63" s="15" t="e">
        <f ca="1">(OR(INDIRECT(L63)=MAX('ALL JOBS'!A:A),AJ62))</f>
        <v>#N/A</v>
      </c>
    </row>
    <row r="64" spans="1:36" ht="30" customHeight="1">
      <c r="A64" s="15" t="str">
        <f t="shared" ca="1" si="31"/>
        <v/>
      </c>
      <c r="B64" s="12" t="str">
        <f t="shared" ca="1" si="32"/>
        <v/>
      </c>
      <c r="C64" s="13" t="str">
        <f t="shared" ca="1" si="33"/>
        <v/>
      </c>
      <c r="D64" s="13" t="str">
        <f t="shared" ca="1" si="34"/>
        <v/>
      </c>
      <c r="E64" s="13" t="str">
        <f t="shared" ca="1" si="35"/>
        <v/>
      </c>
      <c r="F64" s="14" t="str">
        <f t="shared" ca="1" si="36"/>
        <v/>
      </c>
      <c r="G64" s="15" t="str">
        <f ca="1">IF($C$1="ALL",IF(INDIRECT(AH64)="","",IF(INDIRECT(AG64)&gt;MAX(Budget!$B$2,Budget!$E$2),"","Y")),IF(ISERR(FIND($C$1,INDIRECT(AH64))),"",IF(INDIRECT(AG64)&gt;MAX(Budget!$B$2,Budget!$E$2),"","Y")))</f>
        <v/>
      </c>
      <c r="H64" s="15">
        <f t="shared" si="37"/>
        <v>64</v>
      </c>
      <c r="I64" s="15" t="e">
        <f t="shared" ca="1" si="38"/>
        <v>#N/A</v>
      </c>
      <c r="J64" s="15" t="e">
        <f t="shared" ca="1" si="39"/>
        <v>#N/A</v>
      </c>
      <c r="K64" s="15" t="e">
        <f ca="1">CONCATENATE("G",J63+1,":I",'ALL JOBS'!$K$10)</f>
        <v>#N/A</v>
      </c>
      <c r="L64" s="15" t="e">
        <f t="shared" ca="1" si="14"/>
        <v>#N/A</v>
      </c>
      <c r="M64" s="15" t="e">
        <f t="shared" ca="1" si="3"/>
        <v>#N/A</v>
      </c>
      <c r="N64" s="15" t="e">
        <f t="shared" ca="1" si="4"/>
        <v>#N/A</v>
      </c>
      <c r="O64" s="15" t="e">
        <f t="shared" ca="1" si="5"/>
        <v>#N/A</v>
      </c>
      <c r="P64" s="15" t="e">
        <f t="shared" ca="1" si="6"/>
        <v>#N/A</v>
      </c>
      <c r="Q64" s="15" t="e">
        <f t="shared" ca="1" si="7"/>
        <v>#N/A</v>
      </c>
      <c r="R64" s="15" t="e">
        <f t="shared" ca="1" si="8"/>
        <v>#N/A</v>
      </c>
      <c r="S64" s="13" t="str">
        <f t="shared" ca="1" si="40"/>
        <v/>
      </c>
      <c r="T64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64" s="15">
        <f t="shared" si="41"/>
        <v>64</v>
      </c>
      <c r="V64" s="15" t="e">
        <f t="shared" ca="1" si="42"/>
        <v>#N/A</v>
      </c>
      <c r="W64" s="15" t="e">
        <f t="shared" ca="1" si="43"/>
        <v>#N/A</v>
      </c>
      <c r="X64" s="15" t="e">
        <f t="shared" ca="1" si="15"/>
        <v>#N/A</v>
      </c>
      <c r="Y64" s="15" t="e">
        <f t="shared" ca="1" si="9"/>
        <v>#N/A</v>
      </c>
      <c r="Z64" s="15" t="e">
        <f t="shared" ca="1" si="10"/>
        <v>#N/A</v>
      </c>
      <c r="AA64" s="15" t="e">
        <f t="shared" ca="1" si="11"/>
        <v>#N/A</v>
      </c>
      <c r="AB64" s="15" t="e">
        <f t="shared" ca="1" si="16"/>
        <v>#N/A</v>
      </c>
      <c r="AC64" s="15" t="e">
        <f t="shared" ca="1" si="12"/>
        <v>#N/A</v>
      </c>
      <c r="AD64" s="15" t="e">
        <f t="shared" ca="1" si="13"/>
        <v>#N/A</v>
      </c>
      <c r="AF64" s="15" t="str">
        <f t="shared" ca="1" si="44"/>
        <v/>
      </c>
      <c r="AG64" s="15" t="str">
        <f t="shared" si="45"/>
        <v>'ALL JOBS'!D70</v>
      </c>
      <c r="AH64" s="15" t="str">
        <f t="shared" si="46"/>
        <v>'ALL JOBS'!F70</v>
      </c>
      <c r="AJ64" s="15" t="e">
        <f ca="1">(OR(INDIRECT(L64)=MAX('ALL JOBS'!A:A),AJ63))</f>
        <v>#N/A</v>
      </c>
    </row>
    <row r="65" spans="1:36" ht="30" customHeight="1">
      <c r="A65" s="15" t="str">
        <f t="shared" ca="1" si="31"/>
        <v/>
      </c>
      <c r="B65" s="12" t="str">
        <f t="shared" ca="1" si="32"/>
        <v/>
      </c>
      <c r="C65" s="13" t="str">
        <f t="shared" ca="1" si="33"/>
        <v/>
      </c>
      <c r="D65" s="13" t="str">
        <f t="shared" ca="1" si="34"/>
        <v/>
      </c>
      <c r="E65" s="13" t="str">
        <f t="shared" ca="1" si="35"/>
        <v/>
      </c>
      <c r="F65" s="14" t="str">
        <f t="shared" ca="1" si="36"/>
        <v/>
      </c>
      <c r="G65" s="15" t="str">
        <f ca="1">IF($C$1="ALL",IF(INDIRECT(AH65)="","",IF(INDIRECT(AG65)&gt;MAX(Budget!$B$2,Budget!$E$2),"","Y")),IF(ISERR(FIND($C$1,INDIRECT(AH65))),"",IF(INDIRECT(AG65)&gt;MAX(Budget!$B$2,Budget!$E$2),"","Y")))</f>
        <v/>
      </c>
      <c r="H65" s="15">
        <f t="shared" si="37"/>
        <v>65</v>
      </c>
      <c r="I65" s="15" t="e">
        <f t="shared" ca="1" si="38"/>
        <v>#N/A</v>
      </c>
      <c r="J65" s="15" t="e">
        <f t="shared" ca="1" si="39"/>
        <v>#N/A</v>
      </c>
      <c r="K65" s="15" t="e">
        <f ca="1">CONCATENATE("G",J64+1,":I",'ALL JOBS'!$K$10)</f>
        <v>#N/A</v>
      </c>
      <c r="L65" s="15" t="e">
        <f t="shared" ca="1" si="14"/>
        <v>#N/A</v>
      </c>
      <c r="M65" s="15" t="e">
        <f t="shared" ca="1" si="3"/>
        <v>#N/A</v>
      </c>
      <c r="N65" s="15" t="e">
        <f t="shared" ca="1" si="4"/>
        <v>#N/A</v>
      </c>
      <c r="O65" s="15" t="e">
        <f t="shared" ca="1" si="5"/>
        <v>#N/A</v>
      </c>
      <c r="P65" s="15" t="e">
        <f t="shared" ca="1" si="6"/>
        <v>#N/A</v>
      </c>
      <c r="Q65" s="15" t="e">
        <f t="shared" ca="1" si="7"/>
        <v>#N/A</v>
      </c>
      <c r="R65" s="15" t="e">
        <f t="shared" ca="1" si="8"/>
        <v>#N/A</v>
      </c>
      <c r="S65" s="13" t="str">
        <f t="shared" ca="1" si="40"/>
        <v/>
      </c>
      <c r="T65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65" s="15">
        <f t="shared" si="41"/>
        <v>65</v>
      </c>
      <c r="V65" s="15" t="e">
        <f t="shared" ca="1" si="42"/>
        <v>#N/A</v>
      </c>
      <c r="W65" s="15" t="e">
        <f t="shared" ca="1" si="43"/>
        <v>#N/A</v>
      </c>
      <c r="X65" s="15" t="e">
        <f t="shared" ca="1" si="15"/>
        <v>#N/A</v>
      </c>
      <c r="Y65" s="15" t="e">
        <f t="shared" ca="1" si="9"/>
        <v>#N/A</v>
      </c>
      <c r="Z65" s="15" t="e">
        <f t="shared" ca="1" si="10"/>
        <v>#N/A</v>
      </c>
      <c r="AA65" s="15" t="e">
        <f t="shared" ca="1" si="11"/>
        <v>#N/A</v>
      </c>
      <c r="AB65" s="15" t="e">
        <f t="shared" ca="1" si="16"/>
        <v>#N/A</v>
      </c>
      <c r="AC65" s="15" t="e">
        <f t="shared" ca="1" si="12"/>
        <v>#N/A</v>
      </c>
      <c r="AD65" s="15" t="e">
        <f t="shared" ca="1" si="13"/>
        <v>#N/A</v>
      </c>
      <c r="AF65" s="15" t="str">
        <f t="shared" ca="1" si="44"/>
        <v/>
      </c>
      <c r="AG65" s="15" t="str">
        <f t="shared" si="45"/>
        <v>'ALL JOBS'!D71</v>
      </c>
      <c r="AH65" s="15" t="str">
        <f t="shared" si="46"/>
        <v>'ALL JOBS'!F71</v>
      </c>
      <c r="AJ65" s="15" t="e">
        <f ca="1">(OR(INDIRECT(L65)=MAX('ALL JOBS'!A:A),AJ64))</f>
        <v>#N/A</v>
      </c>
    </row>
    <row r="66" spans="1:36" ht="30" customHeight="1">
      <c r="A66" s="15" t="str">
        <f t="shared" ca="1" si="31"/>
        <v/>
      </c>
      <c r="B66" s="12" t="str">
        <f t="shared" ca="1" si="32"/>
        <v/>
      </c>
      <c r="C66" s="13" t="str">
        <f t="shared" ca="1" si="33"/>
        <v/>
      </c>
      <c r="D66" s="13" t="str">
        <f t="shared" ca="1" si="34"/>
        <v/>
      </c>
      <c r="E66" s="13" t="str">
        <f t="shared" ca="1" si="35"/>
        <v/>
      </c>
      <c r="F66" s="14" t="str">
        <f t="shared" ca="1" si="36"/>
        <v/>
      </c>
      <c r="G66" s="15" t="str">
        <f ca="1">IF($C$1="ALL",IF(INDIRECT(AH66)="","",IF(INDIRECT(AG66)&gt;MAX(Budget!$B$2,Budget!$E$2),"","Y")),IF(ISERR(FIND($C$1,INDIRECT(AH66))),"",IF(INDIRECT(AG66)&gt;MAX(Budget!$B$2,Budget!$E$2),"","Y")))</f>
        <v/>
      </c>
      <c r="H66" s="15">
        <f t="shared" si="37"/>
        <v>66</v>
      </c>
      <c r="I66" s="15" t="e">
        <f t="shared" ca="1" si="38"/>
        <v>#N/A</v>
      </c>
      <c r="J66" s="15" t="e">
        <f t="shared" ca="1" si="39"/>
        <v>#N/A</v>
      </c>
      <c r="K66" s="15" t="e">
        <f ca="1">CONCATENATE("G",J65+1,":I",'ALL JOBS'!$K$10)</f>
        <v>#N/A</v>
      </c>
      <c r="L66" s="15" t="e">
        <f t="shared" ca="1" si="14"/>
        <v>#N/A</v>
      </c>
      <c r="M66" s="15" t="e">
        <f t="shared" ca="1" si="3"/>
        <v>#N/A</v>
      </c>
      <c r="N66" s="15" t="e">
        <f t="shared" ca="1" si="4"/>
        <v>#N/A</v>
      </c>
      <c r="O66" s="15" t="e">
        <f t="shared" ca="1" si="5"/>
        <v>#N/A</v>
      </c>
      <c r="P66" s="15" t="e">
        <f t="shared" ca="1" si="6"/>
        <v>#N/A</v>
      </c>
      <c r="Q66" s="15" t="e">
        <f t="shared" ca="1" si="7"/>
        <v>#N/A</v>
      </c>
      <c r="R66" s="15" t="e">
        <f t="shared" ca="1" si="8"/>
        <v>#N/A</v>
      </c>
      <c r="S66" s="13" t="str">
        <f t="shared" ca="1" si="40"/>
        <v/>
      </c>
      <c r="T66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66" s="15">
        <f t="shared" si="41"/>
        <v>66</v>
      </c>
      <c r="V66" s="15" t="e">
        <f t="shared" ca="1" si="42"/>
        <v>#N/A</v>
      </c>
      <c r="W66" s="15" t="e">
        <f t="shared" ca="1" si="43"/>
        <v>#N/A</v>
      </c>
      <c r="X66" s="15" t="e">
        <f t="shared" ca="1" si="15"/>
        <v>#N/A</v>
      </c>
      <c r="Y66" s="15" t="e">
        <f t="shared" ca="1" si="9"/>
        <v>#N/A</v>
      </c>
      <c r="Z66" s="15" t="e">
        <f t="shared" ca="1" si="10"/>
        <v>#N/A</v>
      </c>
      <c r="AA66" s="15" t="e">
        <f t="shared" ca="1" si="11"/>
        <v>#N/A</v>
      </c>
      <c r="AB66" s="15" t="e">
        <f t="shared" ca="1" si="16"/>
        <v>#N/A</v>
      </c>
      <c r="AC66" s="15" t="e">
        <f t="shared" ca="1" si="12"/>
        <v>#N/A</v>
      </c>
      <c r="AD66" s="15" t="e">
        <f t="shared" ca="1" si="13"/>
        <v>#N/A</v>
      </c>
      <c r="AF66" s="15" t="str">
        <f t="shared" ca="1" si="44"/>
        <v/>
      </c>
      <c r="AG66" s="15" t="str">
        <f t="shared" si="45"/>
        <v>'ALL JOBS'!D72</v>
      </c>
      <c r="AH66" s="15" t="str">
        <f t="shared" si="46"/>
        <v>'ALL JOBS'!F72</v>
      </c>
      <c r="AJ66" s="15" t="e">
        <f ca="1">(OR(INDIRECT(L66)=MAX('ALL JOBS'!A:A),AJ65))</f>
        <v>#N/A</v>
      </c>
    </row>
    <row r="67" spans="1:36" ht="30" customHeight="1">
      <c r="A67" s="15" t="str">
        <f t="shared" ca="1" si="31"/>
        <v/>
      </c>
      <c r="B67" s="12" t="str">
        <f t="shared" ca="1" si="32"/>
        <v/>
      </c>
      <c r="C67" s="13" t="str">
        <f t="shared" ca="1" si="33"/>
        <v/>
      </c>
      <c r="D67" s="13" t="str">
        <f t="shared" ca="1" si="34"/>
        <v/>
      </c>
      <c r="E67" s="13" t="str">
        <f t="shared" ca="1" si="35"/>
        <v/>
      </c>
      <c r="F67" s="14" t="str">
        <f t="shared" ca="1" si="36"/>
        <v/>
      </c>
      <c r="G67" s="15" t="str">
        <f ca="1">IF($C$1="ALL",IF(INDIRECT(AH67)="","",IF(INDIRECT(AG67)&gt;MAX(Budget!$B$2,Budget!$E$2),"","Y")),IF(ISERR(FIND($C$1,INDIRECT(AH67))),"",IF(INDIRECT(AG67)&gt;MAX(Budget!$B$2,Budget!$E$2),"","Y")))</f>
        <v/>
      </c>
      <c r="H67" s="15">
        <f t="shared" si="37"/>
        <v>67</v>
      </c>
      <c r="I67" s="15" t="e">
        <f t="shared" ca="1" si="38"/>
        <v>#N/A</v>
      </c>
      <c r="J67" s="15" t="e">
        <f t="shared" ca="1" si="39"/>
        <v>#N/A</v>
      </c>
      <c r="K67" s="15" t="e">
        <f ca="1">CONCATENATE("G",J66+1,":I",'ALL JOBS'!$K$10)</f>
        <v>#N/A</v>
      </c>
      <c r="L67" s="15" t="e">
        <f t="shared" ca="1" si="14"/>
        <v>#N/A</v>
      </c>
      <c r="M67" s="15" t="e">
        <f t="shared" ca="1" si="3"/>
        <v>#N/A</v>
      </c>
      <c r="N67" s="15" t="e">
        <f t="shared" ca="1" si="4"/>
        <v>#N/A</v>
      </c>
      <c r="O67" s="15" t="e">
        <f t="shared" ca="1" si="5"/>
        <v>#N/A</v>
      </c>
      <c r="P67" s="15" t="e">
        <f t="shared" ca="1" si="6"/>
        <v>#N/A</v>
      </c>
      <c r="Q67" s="15" t="e">
        <f t="shared" ca="1" si="7"/>
        <v>#N/A</v>
      </c>
      <c r="R67" s="15" t="e">
        <f t="shared" ca="1" si="8"/>
        <v>#N/A</v>
      </c>
      <c r="S67" s="13" t="str">
        <f t="shared" ca="1" si="40"/>
        <v/>
      </c>
      <c r="T67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67" s="15">
        <f t="shared" si="41"/>
        <v>67</v>
      </c>
      <c r="V67" s="15" t="e">
        <f t="shared" ca="1" si="42"/>
        <v>#N/A</v>
      </c>
      <c r="W67" s="15" t="e">
        <f t="shared" ca="1" si="43"/>
        <v>#N/A</v>
      </c>
      <c r="X67" s="15" t="e">
        <f t="shared" ca="1" si="15"/>
        <v>#N/A</v>
      </c>
      <c r="Y67" s="15" t="e">
        <f t="shared" ca="1" si="9"/>
        <v>#N/A</v>
      </c>
      <c r="Z67" s="15" t="e">
        <f t="shared" ca="1" si="10"/>
        <v>#N/A</v>
      </c>
      <c r="AA67" s="15" t="e">
        <f t="shared" ca="1" si="11"/>
        <v>#N/A</v>
      </c>
      <c r="AB67" s="15" t="e">
        <f t="shared" ca="1" si="16"/>
        <v>#N/A</v>
      </c>
      <c r="AC67" s="15" t="e">
        <f t="shared" ca="1" si="12"/>
        <v>#N/A</v>
      </c>
      <c r="AD67" s="15" t="e">
        <f t="shared" ca="1" si="13"/>
        <v>#N/A</v>
      </c>
      <c r="AF67" s="15" t="str">
        <f t="shared" ca="1" si="44"/>
        <v/>
      </c>
      <c r="AG67" s="15" t="str">
        <f t="shared" si="45"/>
        <v>'ALL JOBS'!D73</v>
      </c>
      <c r="AH67" s="15" t="str">
        <f t="shared" si="46"/>
        <v>'ALL JOBS'!F73</v>
      </c>
      <c r="AJ67" s="15" t="e">
        <f ca="1">(OR(INDIRECT(L67)=MAX('ALL JOBS'!A:A),AJ66))</f>
        <v>#N/A</v>
      </c>
    </row>
    <row r="68" spans="1:36" ht="30" customHeight="1">
      <c r="A68" s="15" t="str">
        <f t="shared" ca="1" si="31"/>
        <v/>
      </c>
      <c r="B68" s="12" t="str">
        <f t="shared" ca="1" si="32"/>
        <v/>
      </c>
      <c r="C68" s="13" t="str">
        <f t="shared" ca="1" si="33"/>
        <v/>
      </c>
      <c r="D68" s="13" t="str">
        <f t="shared" ca="1" si="34"/>
        <v/>
      </c>
      <c r="E68" s="13" t="str">
        <f t="shared" ca="1" si="35"/>
        <v/>
      </c>
      <c r="F68" s="14" t="str">
        <f t="shared" ca="1" si="36"/>
        <v/>
      </c>
      <c r="G68" s="15" t="str">
        <f ca="1">IF($C$1="ALL",IF(INDIRECT(AH68)="","",IF(INDIRECT(AG68)&gt;MAX(Budget!$B$2,Budget!$E$2),"","Y")),IF(ISERR(FIND($C$1,INDIRECT(AH68))),"",IF(INDIRECT(AG68)&gt;MAX(Budget!$B$2,Budget!$E$2),"","Y")))</f>
        <v>Y</v>
      </c>
      <c r="H68" s="15">
        <f t="shared" si="37"/>
        <v>68</v>
      </c>
      <c r="I68" s="15" t="e">
        <f t="shared" ca="1" si="38"/>
        <v>#N/A</v>
      </c>
      <c r="J68" s="15" t="e">
        <f t="shared" ca="1" si="39"/>
        <v>#N/A</v>
      </c>
      <c r="K68" s="15" t="e">
        <f ca="1">CONCATENATE("G",J67+1,":I",'ALL JOBS'!$K$10)</f>
        <v>#N/A</v>
      </c>
      <c r="L68" s="15" t="e">
        <f t="shared" ca="1" si="14"/>
        <v>#N/A</v>
      </c>
      <c r="M68" s="15" t="e">
        <f t="shared" ref="M68:M77" ca="1" si="47">CONCATENATE("'ALL JOBS'!B",$J68+$K$3)</f>
        <v>#N/A</v>
      </c>
      <c r="N68" s="15" t="e">
        <f t="shared" ref="N68:N77" ca="1" si="48">CONCATENATE("'ALL JOBS'!D",$J68+$K$3)</f>
        <v>#N/A</v>
      </c>
      <c r="O68" s="15" t="e">
        <f t="shared" ref="O68:O77" ca="1" si="49">CONCATENATE("'ALL JOBS'!E",$J68+$K$3)</f>
        <v>#N/A</v>
      </c>
      <c r="P68" s="15" t="e">
        <f t="shared" ref="P68:P77" ca="1" si="50">CONCATENATE("'ALL JOBS'!F",$J68+$K$3)</f>
        <v>#N/A</v>
      </c>
      <c r="Q68" s="15" t="e">
        <f t="shared" ref="Q68:Q77" ca="1" si="51">CONCATENATE("'ALL JOBS'!G",$J68+$K$3)</f>
        <v>#N/A</v>
      </c>
      <c r="R68" s="15" t="e">
        <f t="shared" ref="R68:R77" ca="1" si="52">CONCATENATE("'ALL JOBS'!D",$I68+6)</f>
        <v>#N/A</v>
      </c>
      <c r="S68" s="13" t="str">
        <f t="shared" ca="1" si="40"/>
        <v/>
      </c>
      <c r="T68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68" s="15">
        <f t="shared" si="41"/>
        <v>68</v>
      </c>
      <c r="V68" s="15" t="e">
        <f t="shared" ca="1" si="42"/>
        <v>#N/A</v>
      </c>
      <c r="W68" s="15" t="e">
        <f t="shared" ca="1" si="43"/>
        <v>#N/A</v>
      </c>
      <c r="X68" s="15" t="e">
        <f t="shared" ca="1" si="15"/>
        <v>#N/A</v>
      </c>
      <c r="Y68" s="15" t="e">
        <f t="shared" ref="Y68:Y77" ca="1" si="53">CONCATENATE("'ALL JOBS'!B",$V68+$K$3)</f>
        <v>#N/A</v>
      </c>
      <c r="Z68" s="15" t="e">
        <f t="shared" ref="Z68:Z77" ca="1" si="54">CONCATENATE("'ALL JOBS'!D",$V68+$K$3)</f>
        <v>#N/A</v>
      </c>
      <c r="AA68" s="15" t="e">
        <f t="shared" ref="AA68:AA77" ca="1" si="55">CONCATENATE("'ALL JOBS'!E",$V68+$K$3)</f>
        <v>#N/A</v>
      </c>
      <c r="AB68" s="15" t="e">
        <f t="shared" ca="1" si="16"/>
        <v>#N/A</v>
      </c>
      <c r="AC68" s="15" t="e">
        <f t="shared" ref="AC68:AC77" ca="1" si="56">CONCATENATE("'ALL JOBS'!G",$V68+$K$3)</f>
        <v>#N/A</v>
      </c>
      <c r="AD68" s="15" t="e">
        <f t="shared" ref="AD68:AD77" ca="1" si="57">CONCATENATE("'ALL JOBS'!D",$I68+6)</f>
        <v>#N/A</v>
      </c>
      <c r="AF68" s="15" t="str">
        <f t="shared" ca="1" si="44"/>
        <v/>
      </c>
      <c r="AG68" s="15" t="str">
        <f t="shared" si="45"/>
        <v>'ALL JOBS'!D74</v>
      </c>
      <c r="AH68" s="15" t="str">
        <f t="shared" si="46"/>
        <v>'ALL JOBS'!F74</v>
      </c>
      <c r="AJ68" s="15" t="e">
        <f ca="1">(OR(INDIRECT(L68)=MAX('ALL JOBS'!A:A),AJ67))</f>
        <v>#N/A</v>
      </c>
    </row>
    <row r="69" spans="1:36" ht="30" customHeight="1">
      <c r="A69" s="15" t="str">
        <f t="shared" ca="1" si="31"/>
        <v/>
      </c>
      <c r="B69" s="12" t="str">
        <f t="shared" ca="1" si="32"/>
        <v/>
      </c>
      <c r="C69" s="13" t="str">
        <f t="shared" ca="1" si="33"/>
        <v/>
      </c>
      <c r="D69" s="13" t="str">
        <f t="shared" ca="1" si="34"/>
        <v/>
      </c>
      <c r="E69" s="13" t="str">
        <f t="shared" ca="1" si="35"/>
        <v/>
      </c>
      <c r="F69" s="14" t="str">
        <f t="shared" ca="1" si="36"/>
        <v/>
      </c>
      <c r="G69" s="15" t="str">
        <f ca="1">IF($C$1="ALL",IF(INDIRECT(AH69)="","",IF(INDIRECT(AG69)&gt;MAX(Budget!$B$2,Budget!$E$2),"","Y")),IF(ISERR(FIND($C$1,INDIRECT(AH69))),"",IF(INDIRECT(AG69)&gt;MAX(Budget!$B$2,Budget!$E$2),"","Y")))</f>
        <v>Y</v>
      </c>
      <c r="H69" s="15">
        <f t="shared" si="37"/>
        <v>69</v>
      </c>
      <c r="I69" s="15" t="e">
        <f t="shared" ca="1" si="38"/>
        <v>#N/A</v>
      </c>
      <c r="J69" s="15" t="e">
        <f t="shared" ca="1" si="39"/>
        <v>#N/A</v>
      </c>
      <c r="K69" s="15" t="e">
        <f ca="1">CONCATENATE("G",J68+1,":I",'ALL JOBS'!$K$10)</f>
        <v>#N/A</v>
      </c>
      <c r="L69" s="15" t="e">
        <f t="shared" ref="L69:L77" ca="1" si="58">CONCATENATE("'ALL JOBS'!A",$J69+$K$3)</f>
        <v>#N/A</v>
      </c>
      <c r="M69" s="15" t="e">
        <f t="shared" ca="1" si="47"/>
        <v>#N/A</v>
      </c>
      <c r="N69" s="15" t="e">
        <f t="shared" ca="1" si="48"/>
        <v>#N/A</v>
      </c>
      <c r="O69" s="15" t="e">
        <f t="shared" ca="1" si="49"/>
        <v>#N/A</v>
      </c>
      <c r="P69" s="15" t="e">
        <f t="shared" ca="1" si="50"/>
        <v>#N/A</v>
      </c>
      <c r="Q69" s="15" t="e">
        <f t="shared" ca="1" si="51"/>
        <v>#N/A</v>
      </c>
      <c r="R69" s="15" t="e">
        <f t="shared" ca="1" si="52"/>
        <v>#N/A</v>
      </c>
      <c r="S69" s="13" t="str">
        <f t="shared" ca="1" si="40"/>
        <v/>
      </c>
      <c r="T69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69" s="15">
        <f t="shared" si="41"/>
        <v>69</v>
      </c>
      <c r="V69" s="15" t="e">
        <f t="shared" ca="1" si="42"/>
        <v>#N/A</v>
      </c>
      <c r="W69" s="15" t="e">
        <f t="shared" ca="1" si="43"/>
        <v>#N/A</v>
      </c>
      <c r="X69" s="15" t="e">
        <f t="shared" ref="X69:X77" ca="1" si="59">CONCATENATE("'ALL JOBS'!A",$V69+$K$3)</f>
        <v>#N/A</v>
      </c>
      <c r="Y69" s="15" t="e">
        <f t="shared" ca="1" si="53"/>
        <v>#N/A</v>
      </c>
      <c r="Z69" s="15" t="e">
        <f t="shared" ca="1" si="54"/>
        <v>#N/A</v>
      </c>
      <c r="AA69" s="15" t="e">
        <f t="shared" ca="1" si="55"/>
        <v>#N/A</v>
      </c>
      <c r="AB69" s="15" t="e">
        <f t="shared" ref="AB69:AB77" ca="1" si="60">CONCATENATE("'ALL JOBS'!F",$V69+$K$3)</f>
        <v>#N/A</v>
      </c>
      <c r="AC69" s="15" t="e">
        <f t="shared" ca="1" si="56"/>
        <v>#N/A</v>
      </c>
      <c r="AD69" s="15" t="e">
        <f t="shared" ca="1" si="57"/>
        <v>#N/A</v>
      </c>
      <c r="AF69" s="15" t="str">
        <f t="shared" ca="1" si="44"/>
        <v/>
      </c>
      <c r="AG69" s="15" t="str">
        <f t="shared" si="45"/>
        <v>'ALL JOBS'!D75</v>
      </c>
      <c r="AH69" s="15" t="str">
        <f t="shared" si="46"/>
        <v>'ALL JOBS'!F75</v>
      </c>
      <c r="AJ69" s="15" t="e">
        <f ca="1">(OR(INDIRECT(L69)=MAX('ALL JOBS'!A:A),AJ68))</f>
        <v>#N/A</v>
      </c>
    </row>
    <row r="70" spans="1:36" ht="30" customHeight="1">
      <c r="A70" s="15" t="str">
        <f t="shared" ca="1" si="31"/>
        <v/>
      </c>
      <c r="B70" s="12" t="str">
        <f t="shared" ca="1" si="32"/>
        <v/>
      </c>
      <c r="C70" s="13" t="str">
        <f t="shared" ca="1" si="33"/>
        <v/>
      </c>
      <c r="D70" s="13" t="str">
        <f t="shared" ca="1" si="34"/>
        <v/>
      </c>
      <c r="E70" s="13" t="str">
        <f t="shared" ca="1" si="35"/>
        <v/>
      </c>
      <c r="F70" s="14" t="str">
        <f t="shared" ca="1" si="36"/>
        <v/>
      </c>
      <c r="G70" s="15" t="str">
        <f ca="1">IF($C$1="ALL",IF(INDIRECT(AH70)="","",IF(INDIRECT(AG70)&gt;MAX(Budget!$B$2,Budget!$E$2),"","Y")),IF(ISERR(FIND($C$1,INDIRECT(AH70))),"",IF(INDIRECT(AG70)&gt;MAX(Budget!$B$2,Budget!$E$2),"","Y")))</f>
        <v>Y</v>
      </c>
      <c r="H70" s="15">
        <f t="shared" si="37"/>
        <v>70</v>
      </c>
      <c r="I70" s="15" t="e">
        <f t="shared" ca="1" si="38"/>
        <v>#N/A</v>
      </c>
      <c r="J70" s="15" t="e">
        <f t="shared" ca="1" si="39"/>
        <v>#N/A</v>
      </c>
      <c r="K70" s="15" t="e">
        <f ca="1">CONCATENATE("G",J69+1,":I",'ALL JOBS'!$K$10)</f>
        <v>#N/A</v>
      </c>
      <c r="L70" s="15" t="e">
        <f t="shared" ca="1" si="58"/>
        <v>#N/A</v>
      </c>
      <c r="M70" s="15" t="e">
        <f t="shared" ca="1" si="47"/>
        <v>#N/A</v>
      </c>
      <c r="N70" s="15" t="e">
        <f t="shared" ca="1" si="48"/>
        <v>#N/A</v>
      </c>
      <c r="O70" s="15" t="e">
        <f t="shared" ca="1" si="49"/>
        <v>#N/A</v>
      </c>
      <c r="P70" s="15" t="e">
        <f t="shared" ca="1" si="50"/>
        <v>#N/A</v>
      </c>
      <c r="Q70" s="15" t="e">
        <f t="shared" ca="1" si="51"/>
        <v>#N/A</v>
      </c>
      <c r="R70" s="15" t="e">
        <f t="shared" ca="1" si="52"/>
        <v>#N/A</v>
      </c>
      <c r="S70" s="13" t="str">
        <f t="shared" ca="1" si="40"/>
        <v/>
      </c>
      <c r="T70" s="16" t="e">
        <f>IF($C$1="ALL",IF('ALL JOBS'!#REF!="","",IF('ALL JOBS'!#REF!&lt;=Budget!$B$2,"","Y")),IF(ISERR(FIND($C$1,'ALL JOBS'!#REF!)),IF($E$1="","",IF(ISERR(FIND($E$1,'ALL JOBS'!#REF!)),"",IF('ALL JOBS'!#REF!&lt;=Budget!$B$2,"","Y"))),IF('ALL JOBS'!#REF!&lt;=Budget!$B$2,"","Y")))</f>
        <v>#REF!</v>
      </c>
      <c r="U70" s="15">
        <f t="shared" si="41"/>
        <v>70</v>
      </c>
      <c r="V70" s="15" t="e">
        <f t="shared" ca="1" si="42"/>
        <v>#N/A</v>
      </c>
      <c r="W70" s="15" t="e">
        <f t="shared" ca="1" si="43"/>
        <v>#N/A</v>
      </c>
      <c r="X70" s="15" t="e">
        <f t="shared" ca="1" si="59"/>
        <v>#N/A</v>
      </c>
      <c r="Y70" s="15" t="e">
        <f t="shared" ca="1" si="53"/>
        <v>#N/A</v>
      </c>
      <c r="Z70" s="15" t="e">
        <f t="shared" ca="1" si="54"/>
        <v>#N/A</v>
      </c>
      <c r="AA70" s="15" t="e">
        <f t="shared" ca="1" si="55"/>
        <v>#N/A</v>
      </c>
      <c r="AB70" s="15" t="e">
        <f t="shared" ca="1" si="60"/>
        <v>#N/A</v>
      </c>
      <c r="AC70" s="15" t="e">
        <f t="shared" ca="1" si="56"/>
        <v>#N/A</v>
      </c>
      <c r="AD70" s="15" t="e">
        <f t="shared" ca="1" si="57"/>
        <v>#N/A</v>
      </c>
      <c r="AF70" s="15" t="str">
        <f t="shared" ca="1" si="44"/>
        <v/>
      </c>
      <c r="AG70" s="15" t="str">
        <f t="shared" si="45"/>
        <v>'ALL JOBS'!D76</v>
      </c>
      <c r="AH70" s="15" t="str">
        <f t="shared" si="46"/>
        <v>'ALL JOBS'!F76</v>
      </c>
      <c r="AJ70" s="15" t="e">
        <f ca="1">(OR(INDIRECT(L70)=MAX('ALL JOBS'!A:A),AJ69))</f>
        <v>#N/A</v>
      </c>
    </row>
    <row r="71" spans="1:36" ht="30" customHeight="1">
      <c r="A71" s="15" t="str">
        <f t="shared" ca="1" si="31"/>
        <v/>
      </c>
      <c r="B71" s="12" t="str">
        <f t="shared" ca="1" si="32"/>
        <v/>
      </c>
      <c r="C71" s="13" t="str">
        <f t="shared" ca="1" si="33"/>
        <v/>
      </c>
      <c r="D71" s="13" t="str">
        <f t="shared" ca="1" si="34"/>
        <v/>
      </c>
      <c r="E71" s="13" t="str">
        <f t="shared" ca="1" si="35"/>
        <v/>
      </c>
      <c r="F71" s="14" t="str">
        <f t="shared" ca="1" si="36"/>
        <v/>
      </c>
      <c r="G71" s="15" t="str">
        <f ca="1">IF($C$1="ALL",IF(INDIRECT(AH71)="","",IF(INDIRECT(AG71)&gt;MAX(Budget!$B$2,Budget!$E$2),"","Y")),IF(ISERR(FIND($C$1,INDIRECT(AH71))),"",IF(INDIRECT(AG71)&gt;MAX(Budget!$B$2,Budget!$E$2),"","Y")))</f>
        <v/>
      </c>
      <c r="H71" s="15">
        <f t="shared" si="37"/>
        <v>71</v>
      </c>
      <c r="I71" s="15" t="e">
        <f t="shared" ca="1" si="38"/>
        <v>#N/A</v>
      </c>
      <c r="J71" s="15" t="e">
        <f t="shared" ca="1" si="39"/>
        <v>#N/A</v>
      </c>
      <c r="K71" s="15" t="e">
        <f ca="1">CONCATENATE("G",J70+1,":I",'ALL JOBS'!$K$10)</f>
        <v>#N/A</v>
      </c>
      <c r="L71" s="15" t="e">
        <f t="shared" ca="1" si="58"/>
        <v>#N/A</v>
      </c>
      <c r="M71" s="15" t="e">
        <f t="shared" ca="1" si="47"/>
        <v>#N/A</v>
      </c>
      <c r="N71" s="15" t="e">
        <f t="shared" ca="1" si="48"/>
        <v>#N/A</v>
      </c>
      <c r="O71" s="15" t="e">
        <f t="shared" ca="1" si="49"/>
        <v>#N/A</v>
      </c>
      <c r="P71" s="15" t="e">
        <f t="shared" ca="1" si="50"/>
        <v>#N/A</v>
      </c>
      <c r="Q71" s="15" t="e">
        <f t="shared" ca="1" si="51"/>
        <v>#N/A</v>
      </c>
      <c r="R71" s="15" t="e">
        <f t="shared" ca="1" si="52"/>
        <v>#N/A</v>
      </c>
      <c r="S71" s="13" t="str">
        <f t="shared" ca="1" si="40"/>
        <v/>
      </c>
      <c r="T71" s="16" t="str">
        <f>IF($C$1="ALL",IF('ALL JOBS'!F72="","",IF('ALL JOBS'!D72&lt;=Budget!$B$2,"","Y")),IF(ISERR(FIND($C$1,'ALL JOBS'!F72)),IF($E$1="","",IF(ISERR(FIND($E$1,'ALL JOBS'!F72)),"",IF('ALL JOBS'!D72&lt;=Budget!$B$2,"","Y"))),IF('ALL JOBS'!D72&lt;=Budget!$B$2,"","Y")))</f>
        <v/>
      </c>
      <c r="U71" s="15">
        <f t="shared" si="41"/>
        <v>71</v>
      </c>
      <c r="V71" s="15" t="e">
        <f t="shared" ca="1" si="42"/>
        <v>#N/A</v>
      </c>
      <c r="W71" s="15" t="e">
        <f t="shared" ca="1" si="43"/>
        <v>#N/A</v>
      </c>
      <c r="X71" s="15" t="e">
        <f t="shared" ca="1" si="59"/>
        <v>#N/A</v>
      </c>
      <c r="Y71" s="15" t="e">
        <f t="shared" ca="1" si="53"/>
        <v>#N/A</v>
      </c>
      <c r="Z71" s="15" t="e">
        <f t="shared" ca="1" si="54"/>
        <v>#N/A</v>
      </c>
      <c r="AA71" s="15" t="e">
        <f t="shared" ca="1" si="55"/>
        <v>#N/A</v>
      </c>
      <c r="AB71" s="15" t="e">
        <f t="shared" ca="1" si="60"/>
        <v>#N/A</v>
      </c>
      <c r="AC71" s="15" t="e">
        <f t="shared" ca="1" si="56"/>
        <v>#N/A</v>
      </c>
      <c r="AD71" s="15" t="e">
        <f t="shared" ca="1" si="57"/>
        <v>#N/A</v>
      </c>
      <c r="AF71" s="15" t="str">
        <f t="shared" ca="1" si="44"/>
        <v/>
      </c>
      <c r="AG71" s="15" t="str">
        <f t="shared" si="45"/>
        <v>'ALL JOBS'!D77</v>
      </c>
      <c r="AH71" s="15" t="str">
        <f t="shared" si="46"/>
        <v>'ALL JOBS'!F77</v>
      </c>
      <c r="AJ71" s="15" t="e">
        <f ca="1">(OR(INDIRECT(L71)=MAX('ALL JOBS'!A:A),AJ70))</f>
        <v>#N/A</v>
      </c>
    </row>
    <row r="72" spans="1:36" ht="30" customHeight="1">
      <c r="A72" s="15" t="str">
        <f t="shared" ca="1" si="31"/>
        <v/>
      </c>
      <c r="B72" s="12" t="str">
        <f t="shared" ca="1" si="32"/>
        <v/>
      </c>
      <c r="C72" s="13" t="str">
        <f t="shared" ca="1" si="33"/>
        <v/>
      </c>
      <c r="D72" s="13" t="str">
        <f t="shared" ca="1" si="34"/>
        <v/>
      </c>
      <c r="E72" s="13" t="str">
        <f t="shared" ca="1" si="35"/>
        <v/>
      </c>
      <c r="F72" s="14" t="str">
        <f t="shared" ca="1" si="36"/>
        <v/>
      </c>
      <c r="G72" s="15" t="str">
        <f ca="1">IF($C$1="ALL",IF(INDIRECT(AH72)="","",IF(INDIRECT(AG72)&gt;MAX(Budget!$B$2,Budget!$E$2),"","Y")),IF(ISERR(FIND($C$1,INDIRECT(AH72))),"",IF(INDIRECT(AG72)&gt;MAX(Budget!$B$2,Budget!$E$2),"","Y")))</f>
        <v/>
      </c>
      <c r="H72" s="15">
        <f t="shared" si="37"/>
        <v>72</v>
      </c>
      <c r="I72" s="15" t="e">
        <f t="shared" ca="1" si="38"/>
        <v>#N/A</v>
      </c>
      <c r="J72" s="15" t="e">
        <f t="shared" ca="1" si="39"/>
        <v>#N/A</v>
      </c>
      <c r="K72" s="15" t="e">
        <f ca="1">CONCATENATE("G",J71+1,":I",'ALL JOBS'!$K$10)</f>
        <v>#N/A</v>
      </c>
      <c r="L72" s="15" t="e">
        <f t="shared" ca="1" si="58"/>
        <v>#N/A</v>
      </c>
      <c r="M72" s="15" t="e">
        <f t="shared" ca="1" si="47"/>
        <v>#N/A</v>
      </c>
      <c r="N72" s="15" t="e">
        <f t="shared" ca="1" si="48"/>
        <v>#N/A</v>
      </c>
      <c r="O72" s="15" t="e">
        <f t="shared" ca="1" si="49"/>
        <v>#N/A</v>
      </c>
      <c r="P72" s="15" t="e">
        <f t="shared" ca="1" si="50"/>
        <v>#N/A</v>
      </c>
      <c r="Q72" s="15" t="e">
        <f t="shared" ca="1" si="51"/>
        <v>#N/A</v>
      </c>
      <c r="R72" s="15" t="e">
        <f t="shared" ca="1" si="52"/>
        <v>#N/A</v>
      </c>
      <c r="S72" s="13" t="str">
        <f t="shared" ca="1" si="40"/>
        <v/>
      </c>
      <c r="T72" s="16" t="str">
        <f>IF($C$1="ALL",IF('ALL JOBS'!F73="","",IF('ALL JOBS'!D73&lt;=Budget!$B$2,"","Y")),IF(ISERR(FIND($C$1,'ALL JOBS'!F73)),IF($E$1="","",IF(ISERR(FIND($E$1,'ALL JOBS'!F73)),"",IF('ALL JOBS'!D73&lt;=Budget!$B$2,"","Y"))),IF('ALL JOBS'!D73&lt;=Budget!$B$2,"","Y")))</f>
        <v/>
      </c>
      <c r="U72" s="15">
        <f t="shared" si="41"/>
        <v>72</v>
      </c>
      <c r="V72" s="15" t="e">
        <f t="shared" ca="1" si="42"/>
        <v>#N/A</v>
      </c>
      <c r="W72" s="15" t="e">
        <f t="shared" ca="1" si="43"/>
        <v>#N/A</v>
      </c>
      <c r="X72" s="15" t="e">
        <f t="shared" ca="1" si="59"/>
        <v>#N/A</v>
      </c>
      <c r="Y72" s="15" t="e">
        <f t="shared" ca="1" si="53"/>
        <v>#N/A</v>
      </c>
      <c r="Z72" s="15" t="e">
        <f t="shared" ca="1" si="54"/>
        <v>#N/A</v>
      </c>
      <c r="AA72" s="15" t="e">
        <f t="shared" ca="1" si="55"/>
        <v>#N/A</v>
      </c>
      <c r="AB72" s="15" t="e">
        <f t="shared" ca="1" si="60"/>
        <v>#N/A</v>
      </c>
      <c r="AC72" s="15" t="e">
        <f t="shared" ca="1" si="56"/>
        <v>#N/A</v>
      </c>
      <c r="AD72" s="15" t="e">
        <f t="shared" ca="1" si="57"/>
        <v>#N/A</v>
      </c>
      <c r="AF72" s="15" t="str">
        <f t="shared" ca="1" si="44"/>
        <v/>
      </c>
      <c r="AG72" s="15" t="str">
        <f t="shared" si="45"/>
        <v>'ALL JOBS'!D78</v>
      </c>
      <c r="AH72" s="15" t="str">
        <f t="shared" si="46"/>
        <v>'ALL JOBS'!F78</v>
      </c>
      <c r="AJ72" s="15" t="e">
        <f ca="1">(OR(INDIRECT(L72)=MAX('ALL JOBS'!A:A),AJ71))</f>
        <v>#N/A</v>
      </c>
    </row>
    <row r="73" spans="1:36" ht="30" customHeight="1">
      <c r="A73" s="15" t="str">
        <f t="shared" ca="1" si="31"/>
        <v/>
      </c>
      <c r="B73" s="12" t="str">
        <f t="shared" ca="1" si="32"/>
        <v/>
      </c>
      <c r="C73" s="13" t="str">
        <f t="shared" ca="1" si="33"/>
        <v/>
      </c>
      <c r="D73" s="13" t="str">
        <f t="shared" ca="1" si="34"/>
        <v/>
      </c>
      <c r="E73" s="13" t="str">
        <f t="shared" ca="1" si="35"/>
        <v/>
      </c>
      <c r="F73" s="14" t="str">
        <f t="shared" ca="1" si="36"/>
        <v/>
      </c>
      <c r="G73" s="15" t="str">
        <f ca="1">IF($C$1="ALL",IF(INDIRECT(AH73)="","",IF(INDIRECT(AG73)&gt;MAX(Budget!$B$2,Budget!$E$2),"","Y")),IF(ISERR(FIND($C$1,INDIRECT(AH73))),"",IF(INDIRECT(AG73)&gt;MAX(Budget!$B$2,Budget!$E$2),"","Y")))</f>
        <v>Y</v>
      </c>
      <c r="H73" s="15">
        <f t="shared" si="37"/>
        <v>73</v>
      </c>
      <c r="I73" s="15" t="e">
        <f t="shared" ca="1" si="38"/>
        <v>#N/A</v>
      </c>
      <c r="J73" s="15" t="e">
        <f t="shared" ca="1" si="39"/>
        <v>#N/A</v>
      </c>
      <c r="K73" s="15" t="e">
        <f ca="1">CONCATENATE("G",J72+1,":I",'ALL JOBS'!$K$10)</f>
        <v>#N/A</v>
      </c>
      <c r="L73" s="15" t="e">
        <f t="shared" ca="1" si="58"/>
        <v>#N/A</v>
      </c>
      <c r="M73" s="15" t="e">
        <f t="shared" ca="1" si="47"/>
        <v>#N/A</v>
      </c>
      <c r="N73" s="15" t="e">
        <f t="shared" ca="1" si="48"/>
        <v>#N/A</v>
      </c>
      <c r="O73" s="15" t="e">
        <f t="shared" ca="1" si="49"/>
        <v>#N/A</v>
      </c>
      <c r="P73" s="15" t="e">
        <f t="shared" ca="1" si="50"/>
        <v>#N/A</v>
      </c>
      <c r="Q73" s="15" t="e">
        <f t="shared" ca="1" si="51"/>
        <v>#N/A</v>
      </c>
      <c r="R73" s="15" t="e">
        <f t="shared" ca="1" si="52"/>
        <v>#N/A</v>
      </c>
      <c r="S73" s="13" t="str">
        <f t="shared" ca="1" si="40"/>
        <v/>
      </c>
      <c r="T73" s="16" t="str">
        <f>IF($C$1="ALL",IF('ALL JOBS'!F74="","",IF('ALL JOBS'!D74&lt;=Budget!$B$2,"","Y")),IF(ISERR(FIND($C$1,'ALL JOBS'!F74)),IF($E$1="","",IF(ISERR(FIND($E$1,'ALL JOBS'!F74)),"",IF('ALL JOBS'!D74&lt;=Budget!$B$2,"","Y"))),IF('ALL JOBS'!D74&lt;=Budget!$B$2,"","Y")))</f>
        <v/>
      </c>
      <c r="U73" s="15">
        <f t="shared" si="41"/>
        <v>73</v>
      </c>
      <c r="V73" s="15" t="e">
        <f t="shared" ca="1" si="42"/>
        <v>#N/A</v>
      </c>
      <c r="W73" s="15" t="e">
        <f t="shared" ca="1" si="43"/>
        <v>#N/A</v>
      </c>
      <c r="X73" s="15" t="e">
        <f t="shared" ca="1" si="59"/>
        <v>#N/A</v>
      </c>
      <c r="Y73" s="15" t="e">
        <f t="shared" ca="1" si="53"/>
        <v>#N/A</v>
      </c>
      <c r="Z73" s="15" t="e">
        <f t="shared" ca="1" si="54"/>
        <v>#N/A</v>
      </c>
      <c r="AA73" s="15" t="e">
        <f t="shared" ca="1" si="55"/>
        <v>#N/A</v>
      </c>
      <c r="AB73" s="15" t="e">
        <f t="shared" ca="1" si="60"/>
        <v>#N/A</v>
      </c>
      <c r="AC73" s="15" t="e">
        <f t="shared" ca="1" si="56"/>
        <v>#N/A</v>
      </c>
      <c r="AD73" s="15" t="e">
        <f t="shared" ca="1" si="57"/>
        <v>#N/A</v>
      </c>
      <c r="AF73" s="15" t="str">
        <f t="shared" ca="1" si="44"/>
        <v/>
      </c>
      <c r="AG73" s="15" t="str">
        <f t="shared" si="45"/>
        <v>'ALL JOBS'!D79</v>
      </c>
      <c r="AH73" s="15" t="str">
        <f t="shared" si="46"/>
        <v>'ALL JOBS'!F79</v>
      </c>
      <c r="AJ73" s="15" t="e">
        <f ca="1">(OR(INDIRECT(L73)=MAX('ALL JOBS'!A:A),AJ72))</f>
        <v>#N/A</v>
      </c>
    </row>
    <row r="74" spans="1:36" ht="30" customHeight="1">
      <c r="A74" s="15" t="str">
        <f t="shared" ca="1" si="31"/>
        <v/>
      </c>
      <c r="B74" s="12" t="str">
        <f t="shared" ca="1" si="32"/>
        <v/>
      </c>
      <c r="C74" s="13" t="str">
        <f t="shared" ca="1" si="33"/>
        <v/>
      </c>
      <c r="D74" s="13" t="str">
        <f t="shared" ca="1" si="34"/>
        <v/>
      </c>
      <c r="E74" s="13" t="str">
        <f t="shared" ca="1" si="35"/>
        <v/>
      </c>
      <c r="F74" s="14" t="str">
        <f t="shared" ca="1" si="36"/>
        <v/>
      </c>
      <c r="G74" s="15" t="str">
        <f ca="1">IF($C$1="ALL",IF(INDIRECT(AH74)="","",IF(INDIRECT(AG74)&gt;MAX(Budget!$B$2,Budget!$E$2),"","Y")),IF(ISERR(FIND($C$1,INDIRECT(AH74))),"",IF(INDIRECT(AG74)&gt;MAX(Budget!$B$2,Budget!$E$2),"","Y")))</f>
        <v>Y</v>
      </c>
      <c r="H74" s="15">
        <f t="shared" si="37"/>
        <v>74</v>
      </c>
      <c r="I74" s="15" t="e">
        <f t="shared" ca="1" si="38"/>
        <v>#N/A</v>
      </c>
      <c r="J74" s="15" t="e">
        <f t="shared" ca="1" si="39"/>
        <v>#N/A</v>
      </c>
      <c r="K74" s="15" t="e">
        <f ca="1">CONCATENATE("G",J73+1,":I",'ALL JOBS'!$K$10)</f>
        <v>#N/A</v>
      </c>
      <c r="L74" s="15" t="e">
        <f t="shared" ca="1" si="58"/>
        <v>#N/A</v>
      </c>
      <c r="M74" s="15" t="e">
        <f t="shared" ca="1" si="47"/>
        <v>#N/A</v>
      </c>
      <c r="N74" s="15" t="e">
        <f t="shared" ca="1" si="48"/>
        <v>#N/A</v>
      </c>
      <c r="O74" s="15" t="e">
        <f t="shared" ca="1" si="49"/>
        <v>#N/A</v>
      </c>
      <c r="P74" s="15" t="e">
        <f t="shared" ca="1" si="50"/>
        <v>#N/A</v>
      </c>
      <c r="Q74" s="15" t="e">
        <f t="shared" ca="1" si="51"/>
        <v>#N/A</v>
      </c>
      <c r="R74" s="15" t="e">
        <f t="shared" ca="1" si="52"/>
        <v>#N/A</v>
      </c>
      <c r="S74" s="13" t="str">
        <f t="shared" ca="1" si="40"/>
        <v/>
      </c>
      <c r="T74" s="16" t="str">
        <f>IF($C$1="ALL",IF('ALL JOBS'!F75="","",IF('ALL JOBS'!D75&lt;=Budget!$B$2,"","Y")),IF(ISERR(FIND($C$1,'ALL JOBS'!F75)),IF($E$1="","",IF(ISERR(FIND($E$1,'ALL JOBS'!F75)),"",IF('ALL JOBS'!D75&lt;=Budget!$B$2,"","Y"))),IF('ALL JOBS'!D75&lt;=Budget!$B$2,"","Y")))</f>
        <v/>
      </c>
      <c r="U74" s="15">
        <f t="shared" si="41"/>
        <v>74</v>
      </c>
      <c r="V74" s="15" t="e">
        <f t="shared" ca="1" si="42"/>
        <v>#N/A</v>
      </c>
      <c r="W74" s="15" t="e">
        <f t="shared" ca="1" si="43"/>
        <v>#N/A</v>
      </c>
      <c r="X74" s="15" t="e">
        <f t="shared" ca="1" si="59"/>
        <v>#N/A</v>
      </c>
      <c r="Y74" s="15" t="e">
        <f t="shared" ca="1" si="53"/>
        <v>#N/A</v>
      </c>
      <c r="Z74" s="15" t="e">
        <f t="shared" ca="1" si="54"/>
        <v>#N/A</v>
      </c>
      <c r="AA74" s="15" t="e">
        <f t="shared" ca="1" si="55"/>
        <v>#N/A</v>
      </c>
      <c r="AB74" s="15" t="e">
        <f t="shared" ca="1" si="60"/>
        <v>#N/A</v>
      </c>
      <c r="AC74" s="15" t="e">
        <f t="shared" ca="1" si="56"/>
        <v>#N/A</v>
      </c>
      <c r="AD74" s="15" t="e">
        <f t="shared" ca="1" si="57"/>
        <v>#N/A</v>
      </c>
      <c r="AF74" s="15" t="str">
        <f t="shared" ca="1" si="44"/>
        <v/>
      </c>
      <c r="AG74" s="15" t="str">
        <f t="shared" si="45"/>
        <v>'ALL JOBS'!D80</v>
      </c>
      <c r="AH74" s="15" t="str">
        <f t="shared" si="46"/>
        <v>'ALL JOBS'!F80</v>
      </c>
      <c r="AJ74" s="15" t="e">
        <f ca="1">(OR(INDIRECT(L74)=MAX('ALL JOBS'!A:A),AJ73))</f>
        <v>#N/A</v>
      </c>
    </row>
    <row r="75" spans="1:36" ht="30" customHeight="1">
      <c r="A75" s="15" t="str">
        <f t="shared" ca="1" si="31"/>
        <v/>
      </c>
      <c r="B75" s="12" t="str">
        <f t="shared" ca="1" si="32"/>
        <v/>
      </c>
      <c r="C75" s="13" t="str">
        <f t="shared" ca="1" si="33"/>
        <v/>
      </c>
      <c r="D75" s="13" t="str">
        <f t="shared" ca="1" si="34"/>
        <v/>
      </c>
      <c r="E75" s="13" t="str">
        <f t="shared" ca="1" si="35"/>
        <v/>
      </c>
      <c r="F75" s="14" t="str">
        <f t="shared" ca="1" si="36"/>
        <v/>
      </c>
      <c r="G75" s="15" t="str">
        <f ca="1">IF($C$1="ALL",IF(INDIRECT(AH75)="","",IF(INDIRECT(AG75)&gt;MAX(Budget!$B$2,Budget!$E$2),"","Y")),IF(ISERR(FIND($C$1,INDIRECT(AH75))),"",IF(INDIRECT(AG75)&gt;MAX(Budget!$B$2,Budget!$E$2),"","Y")))</f>
        <v/>
      </c>
      <c r="H75" s="15">
        <f t="shared" si="37"/>
        <v>75</v>
      </c>
      <c r="I75" s="15" t="e">
        <f t="shared" ca="1" si="38"/>
        <v>#N/A</v>
      </c>
      <c r="J75" s="15" t="e">
        <f t="shared" ca="1" si="39"/>
        <v>#N/A</v>
      </c>
      <c r="K75" s="15" t="e">
        <f ca="1">CONCATENATE("G",J74+1,":I",'ALL JOBS'!$K$10)</f>
        <v>#N/A</v>
      </c>
      <c r="L75" s="15" t="e">
        <f t="shared" ca="1" si="58"/>
        <v>#N/A</v>
      </c>
      <c r="M75" s="15" t="e">
        <f t="shared" ca="1" si="47"/>
        <v>#N/A</v>
      </c>
      <c r="N75" s="15" t="e">
        <f t="shared" ca="1" si="48"/>
        <v>#N/A</v>
      </c>
      <c r="O75" s="15" t="e">
        <f t="shared" ca="1" si="49"/>
        <v>#N/A</v>
      </c>
      <c r="P75" s="15" t="e">
        <f t="shared" ca="1" si="50"/>
        <v>#N/A</v>
      </c>
      <c r="Q75" s="15" t="e">
        <f t="shared" ca="1" si="51"/>
        <v>#N/A</v>
      </c>
      <c r="R75" s="15" t="e">
        <f t="shared" ca="1" si="52"/>
        <v>#N/A</v>
      </c>
      <c r="S75" s="13" t="str">
        <f t="shared" ca="1" si="40"/>
        <v/>
      </c>
      <c r="T75" s="16" t="str">
        <f>IF($C$1="ALL",IF('ALL JOBS'!F76="","",IF('ALL JOBS'!D76&lt;=Budget!$B$2,"","Y")),IF(ISERR(FIND($C$1,'ALL JOBS'!F76)),IF($E$1="","",IF(ISERR(FIND($E$1,'ALL JOBS'!F76)),"",IF('ALL JOBS'!D76&lt;=Budget!$B$2,"","Y"))),IF('ALL JOBS'!D76&lt;=Budget!$B$2,"","Y")))</f>
        <v/>
      </c>
      <c r="U75" s="15">
        <f t="shared" si="41"/>
        <v>75</v>
      </c>
      <c r="V75" s="15" t="e">
        <f t="shared" ca="1" si="42"/>
        <v>#N/A</v>
      </c>
      <c r="W75" s="15" t="e">
        <f t="shared" ca="1" si="43"/>
        <v>#N/A</v>
      </c>
      <c r="X75" s="15" t="e">
        <f t="shared" ca="1" si="59"/>
        <v>#N/A</v>
      </c>
      <c r="Y75" s="15" t="e">
        <f t="shared" ca="1" si="53"/>
        <v>#N/A</v>
      </c>
      <c r="Z75" s="15" t="e">
        <f t="shared" ca="1" si="54"/>
        <v>#N/A</v>
      </c>
      <c r="AA75" s="15" t="e">
        <f t="shared" ca="1" si="55"/>
        <v>#N/A</v>
      </c>
      <c r="AB75" s="15" t="e">
        <f t="shared" ca="1" si="60"/>
        <v>#N/A</v>
      </c>
      <c r="AC75" s="15" t="e">
        <f t="shared" ca="1" si="56"/>
        <v>#N/A</v>
      </c>
      <c r="AD75" s="15" t="e">
        <f t="shared" ca="1" si="57"/>
        <v>#N/A</v>
      </c>
      <c r="AF75" s="15" t="str">
        <f t="shared" ca="1" si="44"/>
        <v/>
      </c>
      <c r="AG75" s="15" t="str">
        <f t="shared" si="45"/>
        <v>'ALL JOBS'!D81</v>
      </c>
      <c r="AH75" s="15" t="str">
        <f t="shared" si="46"/>
        <v>'ALL JOBS'!F81</v>
      </c>
      <c r="AJ75" s="15" t="e">
        <f ca="1">(OR(INDIRECT(L75)=MAX('ALL JOBS'!A:A),AJ74))</f>
        <v>#N/A</v>
      </c>
    </row>
    <row r="76" spans="1:36" ht="30" customHeight="1">
      <c r="A76" s="15" t="str">
        <f t="shared" ca="1" si="31"/>
        <v/>
      </c>
      <c r="B76" s="12" t="str">
        <f t="shared" ca="1" si="32"/>
        <v/>
      </c>
      <c r="C76" s="13" t="str">
        <f t="shared" ca="1" si="33"/>
        <v/>
      </c>
      <c r="D76" s="13" t="str">
        <f t="shared" ca="1" si="34"/>
        <v/>
      </c>
      <c r="E76" s="13" t="str">
        <f t="shared" ca="1" si="35"/>
        <v/>
      </c>
      <c r="F76" s="14" t="str">
        <f t="shared" ca="1" si="36"/>
        <v/>
      </c>
      <c r="G76" s="15" t="str">
        <f ca="1">IF($C$1="ALL",IF(INDIRECT(AH76)="","",IF(INDIRECT(AG76)&gt;MAX(Budget!$B$2,Budget!$E$2),"","Y")),IF(ISERR(FIND($C$1,INDIRECT(AH76))),"",IF(INDIRECT(AG76)&gt;MAX(Budget!$B$2,Budget!$E$2),"","Y")))</f>
        <v/>
      </c>
      <c r="H76" s="15">
        <f t="shared" si="37"/>
        <v>76</v>
      </c>
      <c r="I76" s="15" t="e">
        <f t="shared" ca="1" si="38"/>
        <v>#N/A</v>
      </c>
      <c r="J76" s="15" t="e">
        <f t="shared" ca="1" si="39"/>
        <v>#N/A</v>
      </c>
      <c r="K76" s="15" t="e">
        <f ca="1">CONCATENATE("G",J75+1,":I",'ALL JOBS'!$K$10)</f>
        <v>#N/A</v>
      </c>
      <c r="L76" s="15" t="e">
        <f t="shared" ca="1" si="58"/>
        <v>#N/A</v>
      </c>
      <c r="M76" s="15" t="e">
        <f t="shared" ca="1" si="47"/>
        <v>#N/A</v>
      </c>
      <c r="N76" s="15" t="e">
        <f t="shared" ca="1" si="48"/>
        <v>#N/A</v>
      </c>
      <c r="O76" s="15" t="e">
        <f t="shared" ca="1" si="49"/>
        <v>#N/A</v>
      </c>
      <c r="P76" s="15" t="e">
        <f t="shared" ca="1" si="50"/>
        <v>#N/A</v>
      </c>
      <c r="Q76" s="15" t="e">
        <f t="shared" ca="1" si="51"/>
        <v>#N/A</v>
      </c>
      <c r="R76" s="15" t="e">
        <f t="shared" ca="1" si="52"/>
        <v>#N/A</v>
      </c>
      <c r="S76" s="13" t="str">
        <f t="shared" ca="1" si="40"/>
        <v/>
      </c>
      <c r="T76" s="16" t="str">
        <f>IF($C$1="ALL",IF('ALL JOBS'!F77="","",IF('ALL JOBS'!D77&lt;=Budget!$B$2,"","Y")),IF(ISERR(FIND($C$1,'ALL JOBS'!F77)),IF($E$1="","",IF(ISERR(FIND($E$1,'ALL JOBS'!F77)),"",IF('ALL JOBS'!D77&lt;=Budget!$B$2,"","Y"))),IF('ALL JOBS'!D77&lt;=Budget!$B$2,"","Y")))</f>
        <v/>
      </c>
      <c r="U76" s="15">
        <f t="shared" si="41"/>
        <v>76</v>
      </c>
      <c r="V76" s="15" t="e">
        <f t="shared" ca="1" si="42"/>
        <v>#N/A</v>
      </c>
      <c r="W76" s="15" t="e">
        <f t="shared" ca="1" si="43"/>
        <v>#N/A</v>
      </c>
      <c r="X76" s="15" t="e">
        <f t="shared" ca="1" si="59"/>
        <v>#N/A</v>
      </c>
      <c r="Y76" s="15" t="e">
        <f t="shared" ca="1" si="53"/>
        <v>#N/A</v>
      </c>
      <c r="Z76" s="15" t="e">
        <f t="shared" ca="1" si="54"/>
        <v>#N/A</v>
      </c>
      <c r="AA76" s="15" t="e">
        <f t="shared" ca="1" si="55"/>
        <v>#N/A</v>
      </c>
      <c r="AB76" s="15" t="e">
        <f t="shared" ca="1" si="60"/>
        <v>#N/A</v>
      </c>
      <c r="AC76" s="15" t="e">
        <f t="shared" ca="1" si="56"/>
        <v>#N/A</v>
      </c>
      <c r="AD76" s="15" t="e">
        <f t="shared" ca="1" si="57"/>
        <v>#N/A</v>
      </c>
      <c r="AF76" s="15" t="str">
        <f t="shared" ca="1" si="44"/>
        <v/>
      </c>
      <c r="AG76" s="15" t="str">
        <f t="shared" si="45"/>
        <v>'ALL JOBS'!D82</v>
      </c>
      <c r="AH76" s="15" t="str">
        <f t="shared" si="46"/>
        <v>'ALL JOBS'!F82</v>
      </c>
      <c r="AJ76" s="15" t="e">
        <f ca="1">(OR(INDIRECT(L76)=MAX('ALL JOBS'!A:A),AJ75))</f>
        <v>#N/A</v>
      </c>
    </row>
    <row r="77" spans="1:36" ht="30" customHeight="1" thickBot="1">
      <c r="A77" s="15" t="str">
        <f t="shared" ca="1" si="31"/>
        <v/>
      </c>
      <c r="B77" s="12" t="str">
        <f t="shared" ca="1" si="32"/>
        <v/>
      </c>
      <c r="C77" s="13" t="str">
        <f t="shared" ca="1" si="33"/>
        <v/>
      </c>
      <c r="D77" s="13" t="str">
        <f t="shared" ca="1" si="34"/>
        <v/>
      </c>
      <c r="E77" s="13" t="str">
        <f t="shared" ca="1" si="35"/>
        <v/>
      </c>
      <c r="F77" s="14" t="str">
        <f t="shared" ca="1" si="36"/>
        <v/>
      </c>
      <c r="G77" s="15" t="str">
        <f ca="1">IF($C$1="ALL",IF(INDIRECT(AH77)="","",IF(INDIRECT(AG77)&gt;MAX(Budget!$B$2,Budget!$E$2),"","Y")),IF(ISERR(FIND($C$1,INDIRECT(AH77))),"",IF(INDIRECT(AG77)&gt;MAX(Budget!$B$2,Budget!$E$2),"","Y")))</f>
        <v/>
      </c>
      <c r="H77" s="15">
        <f t="shared" si="37"/>
        <v>77</v>
      </c>
      <c r="I77" s="15" t="e">
        <f t="shared" ca="1" si="38"/>
        <v>#N/A</v>
      </c>
      <c r="J77" s="15" t="e">
        <f t="shared" ca="1" si="39"/>
        <v>#N/A</v>
      </c>
      <c r="K77" s="15" t="e">
        <f ca="1">CONCATENATE("G",J76+1,":I",'ALL JOBS'!$K$10)</f>
        <v>#N/A</v>
      </c>
      <c r="L77" s="15" t="e">
        <f t="shared" ca="1" si="58"/>
        <v>#N/A</v>
      </c>
      <c r="M77" s="15" t="e">
        <f t="shared" ca="1" si="47"/>
        <v>#N/A</v>
      </c>
      <c r="N77" s="15" t="e">
        <f t="shared" ca="1" si="48"/>
        <v>#N/A</v>
      </c>
      <c r="O77" s="15" t="e">
        <f t="shared" ca="1" si="49"/>
        <v>#N/A</v>
      </c>
      <c r="P77" s="15" t="e">
        <f t="shared" ca="1" si="50"/>
        <v>#N/A</v>
      </c>
      <c r="Q77" s="15" t="e">
        <f t="shared" ca="1" si="51"/>
        <v>#N/A</v>
      </c>
      <c r="R77" s="15" t="e">
        <f t="shared" ca="1" si="52"/>
        <v>#N/A</v>
      </c>
      <c r="S77" s="13" t="str">
        <f t="shared" ca="1" si="40"/>
        <v/>
      </c>
      <c r="T77" s="16" t="str">
        <f>IF($C$1="ALL",IF('ALL JOBS'!F78="","",IF('ALL JOBS'!D78&lt;=Budget!$B$2,"","Y")),IF(ISERR(FIND($C$1,'ALL JOBS'!F78)),IF($E$1="","",IF(ISERR(FIND($E$1,'ALL JOBS'!F78)),"",IF('ALL JOBS'!D78&lt;=Budget!$B$2,"","Y"))),IF('ALL JOBS'!D78&lt;=Budget!$B$2,"","Y")))</f>
        <v/>
      </c>
      <c r="U77" s="15">
        <f t="shared" si="41"/>
        <v>77</v>
      </c>
      <c r="V77" s="15" t="e">
        <f t="shared" ca="1" si="42"/>
        <v>#N/A</v>
      </c>
      <c r="W77" s="15" t="e">
        <f t="shared" ca="1" si="43"/>
        <v>#N/A</v>
      </c>
      <c r="X77" s="15" t="e">
        <f t="shared" ca="1" si="59"/>
        <v>#N/A</v>
      </c>
      <c r="Y77" s="15" t="e">
        <f t="shared" ca="1" si="53"/>
        <v>#N/A</v>
      </c>
      <c r="Z77" s="15" t="e">
        <f t="shared" ca="1" si="54"/>
        <v>#N/A</v>
      </c>
      <c r="AA77" s="15" t="e">
        <f t="shared" ca="1" si="55"/>
        <v>#N/A</v>
      </c>
      <c r="AB77" s="15" t="e">
        <f t="shared" ca="1" si="60"/>
        <v>#N/A</v>
      </c>
      <c r="AC77" s="15" t="e">
        <f t="shared" ca="1" si="56"/>
        <v>#N/A</v>
      </c>
      <c r="AD77" s="15" t="e">
        <f t="shared" ca="1" si="57"/>
        <v>#N/A</v>
      </c>
      <c r="AF77" s="15" t="str">
        <f t="shared" ca="1" si="44"/>
        <v/>
      </c>
      <c r="AG77" s="15" t="str">
        <f t="shared" si="45"/>
        <v>'ALL JOBS'!D83</v>
      </c>
      <c r="AH77" s="15" t="str">
        <f t="shared" si="46"/>
        <v>'ALL JOBS'!F83</v>
      </c>
      <c r="AJ77" s="15" t="e">
        <f ca="1">(OR(INDIRECT(L77)=MAX('ALL JOBS'!A:A),AJ76))</f>
        <v>#N/A</v>
      </c>
    </row>
    <row r="78" spans="1:36" ht="16" thickTop="1">
      <c r="C78" s="140" t="s">
        <v>65</v>
      </c>
      <c r="D78" s="141"/>
      <c r="AF78" s="15" t="str">
        <f>IF(AND($AE79="Y",$AE78=""),"",IF($AE78="Y",0,IF($S78="Y",ROW(B78),"")))</f>
        <v/>
      </c>
    </row>
    <row r="79" spans="1:36">
      <c r="C79" s="25" t="s">
        <v>64</v>
      </c>
      <c r="D79" s="26" t="s">
        <v>63</v>
      </c>
      <c r="AF79" s="15" t="str">
        <f>IF(AND($AE80="Y",$AE79=""),"",IF($AE79="Y",0,IF($S79="Y",ROW(D79),"")))</f>
        <v/>
      </c>
    </row>
    <row r="80" spans="1:36" ht="15.75" customHeight="1">
      <c r="B80" s="4">
        <v>0</v>
      </c>
      <c r="C80" s="27" t="s">
        <v>48</v>
      </c>
      <c r="D80" s="28"/>
    </row>
    <row r="81" spans="2:4" ht="15.75" customHeight="1">
      <c r="B81" s="4">
        <v>1</v>
      </c>
      <c r="C81" s="27" t="s">
        <v>36</v>
      </c>
      <c r="D81" s="28">
        <f>B81+1</f>
        <v>2</v>
      </c>
    </row>
    <row r="82" spans="2:4" ht="15.75" customHeight="1">
      <c r="B82" s="4">
        <f>B81+1</f>
        <v>2</v>
      </c>
      <c r="C82" s="27" t="s">
        <v>43</v>
      </c>
      <c r="D82" s="28">
        <f t="shared" ref="D82:D95" si="61">B82+1</f>
        <v>3</v>
      </c>
    </row>
    <row r="83" spans="2:4" ht="15.75" customHeight="1">
      <c r="B83" s="4">
        <f t="shared" ref="B83:B92" si="62">B82+1</f>
        <v>3</v>
      </c>
      <c r="C83" s="27" t="s">
        <v>32</v>
      </c>
      <c r="D83" s="28">
        <f t="shared" si="61"/>
        <v>4</v>
      </c>
    </row>
    <row r="84" spans="2:4" ht="15.75" customHeight="1">
      <c r="B84" s="4">
        <f t="shared" si="62"/>
        <v>4</v>
      </c>
      <c r="C84" s="27" t="s">
        <v>9</v>
      </c>
      <c r="D84" s="28">
        <f t="shared" si="61"/>
        <v>5</v>
      </c>
    </row>
    <row r="85" spans="2:4" ht="15.75" customHeight="1">
      <c r="B85" s="4">
        <f t="shared" si="62"/>
        <v>5</v>
      </c>
      <c r="C85" s="27" t="s">
        <v>40</v>
      </c>
      <c r="D85" s="28">
        <f t="shared" si="61"/>
        <v>6</v>
      </c>
    </row>
    <row r="86" spans="2:4" ht="15.75" customHeight="1">
      <c r="B86" s="4">
        <f t="shared" si="62"/>
        <v>6</v>
      </c>
      <c r="C86" s="27" t="s">
        <v>54</v>
      </c>
      <c r="D86" s="28">
        <f t="shared" ref="D86:D93" si="63">B86+1</f>
        <v>7</v>
      </c>
    </row>
    <row r="87" spans="2:4" ht="15.75" customHeight="1">
      <c r="B87" s="4">
        <f t="shared" si="62"/>
        <v>7</v>
      </c>
      <c r="C87" s="27" t="s">
        <v>35</v>
      </c>
      <c r="D87" s="28">
        <f t="shared" si="63"/>
        <v>8</v>
      </c>
    </row>
    <row r="88" spans="2:4" ht="15.75" customHeight="1">
      <c r="B88" s="4">
        <f t="shared" si="62"/>
        <v>8</v>
      </c>
      <c r="C88" s="27" t="s">
        <v>55</v>
      </c>
      <c r="D88" s="28">
        <f t="shared" si="63"/>
        <v>9</v>
      </c>
    </row>
    <row r="89" spans="2:4" ht="15.75" customHeight="1">
      <c r="B89" s="4">
        <f t="shared" si="62"/>
        <v>9</v>
      </c>
      <c r="C89" s="27" t="s">
        <v>11</v>
      </c>
      <c r="D89" s="28">
        <f t="shared" si="63"/>
        <v>10</v>
      </c>
    </row>
    <row r="90" spans="2:4" ht="15.75" customHeight="1">
      <c r="B90" s="4">
        <f t="shared" si="62"/>
        <v>10</v>
      </c>
      <c r="C90" s="27" t="s">
        <v>53</v>
      </c>
      <c r="D90" s="28">
        <f t="shared" si="63"/>
        <v>11</v>
      </c>
    </row>
    <row r="91" spans="2:4" ht="15.75" customHeight="1">
      <c r="B91" s="4">
        <f t="shared" si="62"/>
        <v>11</v>
      </c>
      <c r="C91" s="27" t="s">
        <v>62</v>
      </c>
      <c r="D91" s="28">
        <f t="shared" si="63"/>
        <v>12</v>
      </c>
    </row>
    <row r="92" spans="2:4">
      <c r="B92" s="4">
        <f t="shared" si="62"/>
        <v>12</v>
      </c>
      <c r="C92" s="27" t="s">
        <v>84</v>
      </c>
      <c r="D92" s="28">
        <f t="shared" si="63"/>
        <v>13</v>
      </c>
    </row>
    <row r="93" spans="2:4">
      <c r="B93" s="15">
        <v>13</v>
      </c>
      <c r="C93" s="27"/>
      <c r="D93" s="28">
        <f t="shared" si="63"/>
        <v>14</v>
      </c>
    </row>
    <row r="94" spans="2:4">
      <c r="B94" s="15">
        <v>14</v>
      </c>
      <c r="C94" s="27"/>
      <c r="D94" s="28">
        <f t="shared" si="61"/>
        <v>15</v>
      </c>
    </row>
    <row r="95" spans="2:4">
      <c r="B95" s="15">
        <v>15</v>
      </c>
      <c r="C95" s="27"/>
      <c r="D95" s="28">
        <f t="shared" si="61"/>
        <v>16</v>
      </c>
    </row>
  </sheetData>
  <mergeCells count="4">
    <mergeCell ref="G1:S1"/>
    <mergeCell ref="T1:AD1"/>
    <mergeCell ref="C78:D78"/>
    <mergeCell ref="E1:E2"/>
  </mergeCells>
  <phoneticPr fontId="15" type="noConversion"/>
  <conditionalFormatting sqref="D1:D78">
    <cfRule type="cellIs" dxfId="3" priority="1" stopIfTrue="1" operator="equal">
      <formula>"Not this year"</formula>
    </cfRule>
  </conditionalFormatting>
  <conditionalFormatting sqref="D80:D65536">
    <cfRule type="cellIs" dxfId="2" priority="4" stopIfTrue="1" operator="equal">
      <formula>"Not this year"</formula>
    </cfRule>
  </conditionalFormatting>
  <printOptions horizontalCentered="1"/>
  <pageMargins left="0.19685039370078741" right="0.19685039370078741" top="0.39370078740157483" bottom="0.39370078740157483" header="0" footer="0"/>
  <pageSetup paperSize="9" scale="95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L81"/>
  <sheetViews>
    <sheetView topLeftCell="A34" zoomScale="145" zoomScaleNormal="145" workbookViewId="0">
      <selection activeCell="E68" sqref="E68"/>
    </sheetView>
  </sheetViews>
  <sheetFormatPr defaultColWidth="11.53515625" defaultRowHeight="14"/>
  <cols>
    <col min="1" max="1" width="3.4609375" style="59" bestFit="1" customWidth="1"/>
    <col min="2" max="2" width="41.53515625" style="104" customWidth="1"/>
    <col min="3" max="3" width="15.23046875" style="31" hidden="1" customWidth="1"/>
    <col min="4" max="4" width="3.84375" style="31" customWidth="1"/>
    <col min="5" max="5" width="13.4609375" style="73" bestFit="1" customWidth="1"/>
    <col min="6" max="6" width="9.84375" style="104" customWidth="1"/>
    <col min="7" max="7" width="6.53515625" style="61" customWidth="1"/>
    <col min="8" max="8" width="7.23046875" style="61" customWidth="1"/>
    <col min="9" max="9" width="20.4609375" style="31" customWidth="1"/>
    <col min="10" max="10" width="5.53515625" style="104" bestFit="1" customWidth="1"/>
    <col min="11" max="11" width="2.53515625" style="104" bestFit="1" customWidth="1"/>
    <col min="12" max="16384" width="11.53515625" style="31"/>
  </cols>
  <sheetData>
    <row r="1" spans="1:12" ht="15" customHeight="1" thickTop="1" thickBot="1">
      <c r="A1" s="19"/>
      <c r="B1" s="116" t="s">
        <v>1</v>
      </c>
      <c r="C1" s="2"/>
      <c r="D1" s="151" t="s">
        <v>2</v>
      </c>
      <c r="E1" s="160" t="s">
        <v>3</v>
      </c>
      <c r="F1" s="154" t="s">
        <v>37</v>
      </c>
      <c r="G1" s="157" t="s">
        <v>4</v>
      </c>
      <c r="H1" s="148" t="s">
        <v>5</v>
      </c>
      <c r="I1" s="30"/>
      <c r="L1" s="96"/>
    </row>
    <row r="2" spans="1:12" ht="16" customHeight="1" thickTop="1" thickBot="1">
      <c r="A2" s="19"/>
      <c r="B2" s="117" t="s">
        <v>23</v>
      </c>
      <c r="C2" s="3"/>
      <c r="D2" s="152"/>
      <c r="E2" s="161"/>
      <c r="F2" s="155"/>
      <c r="G2" s="158"/>
      <c r="H2" s="149"/>
      <c r="I2" s="30"/>
    </row>
    <row r="3" spans="1:12" ht="16" customHeight="1" thickTop="1" thickBot="1">
      <c r="A3" s="19"/>
      <c r="B3" s="117" t="s">
        <v>24</v>
      </c>
      <c r="C3" s="3"/>
      <c r="D3" s="152"/>
      <c r="E3" s="161"/>
      <c r="F3" s="155"/>
      <c r="G3" s="158"/>
      <c r="H3" s="149"/>
      <c r="I3" s="30"/>
    </row>
    <row r="4" spans="1:12" ht="16" customHeight="1" thickTop="1" thickBot="1">
      <c r="A4" s="19"/>
      <c r="B4" s="117" t="s">
        <v>25</v>
      </c>
      <c r="C4" s="3"/>
      <c r="D4" s="152"/>
      <c r="E4" s="161"/>
      <c r="F4" s="155"/>
      <c r="G4" s="158"/>
      <c r="H4" s="149"/>
      <c r="I4" s="30"/>
    </row>
    <row r="5" spans="1:12" ht="16" customHeight="1" thickTop="1" thickBot="1">
      <c r="A5" s="19"/>
      <c r="B5" s="117" t="s">
        <v>34</v>
      </c>
      <c r="C5" s="3"/>
      <c r="D5" s="152"/>
      <c r="E5" s="162"/>
      <c r="F5" s="155"/>
      <c r="G5" s="158"/>
      <c r="H5" s="149"/>
      <c r="I5" s="32"/>
      <c r="J5" s="105"/>
    </row>
    <row r="6" spans="1:12" ht="16" customHeight="1" thickTop="1" thickBot="1">
      <c r="A6" s="19"/>
      <c r="B6" s="117" t="s">
        <v>26</v>
      </c>
      <c r="C6" s="3"/>
      <c r="D6" s="152"/>
      <c r="E6" s="162"/>
      <c r="F6" s="155"/>
      <c r="G6" s="158"/>
      <c r="H6" s="149"/>
      <c r="I6" s="32"/>
      <c r="J6" s="105"/>
    </row>
    <row r="7" spans="1:12" ht="16" customHeight="1" thickTop="1" thickBot="1">
      <c r="A7" s="19"/>
      <c r="B7" s="117" t="s">
        <v>27</v>
      </c>
      <c r="C7" s="3"/>
      <c r="D7" s="152"/>
      <c r="E7" s="162"/>
      <c r="F7" s="155"/>
      <c r="G7" s="158"/>
      <c r="H7" s="149"/>
      <c r="I7" s="32"/>
      <c r="J7" s="105"/>
    </row>
    <row r="8" spans="1:12" ht="16" customHeight="1" thickTop="1" thickBot="1">
      <c r="A8" s="19"/>
      <c r="B8" s="117" t="s">
        <v>47</v>
      </c>
      <c r="C8" s="3"/>
      <c r="D8" s="152"/>
      <c r="E8" s="162"/>
      <c r="F8" s="155"/>
      <c r="G8" s="158"/>
      <c r="H8" s="149"/>
      <c r="I8" s="32"/>
      <c r="J8" s="105"/>
    </row>
    <row r="9" spans="1:12" ht="16" customHeight="1" thickTop="1" thickBot="1">
      <c r="A9" s="19"/>
      <c r="B9" s="118" t="s">
        <v>132</v>
      </c>
      <c r="C9" s="3"/>
      <c r="D9" s="153"/>
      <c r="E9" s="163"/>
      <c r="F9" s="156"/>
      <c r="G9" s="159"/>
      <c r="H9" s="150"/>
      <c r="I9" s="32"/>
      <c r="J9" s="73"/>
    </row>
    <row r="10" spans="1:12" ht="14.5" thickTop="1">
      <c r="A10" s="34" t="str">
        <f>IF(OR(LEFT(B10,1)=" ",B10=""),"",MAX($A$9:A9)+1)</f>
        <v/>
      </c>
      <c r="B10" s="119" t="s">
        <v>61</v>
      </c>
      <c r="C10" s="3"/>
      <c r="D10" s="22"/>
      <c r="E10" s="70"/>
      <c r="F10" s="107"/>
      <c r="G10" s="23"/>
      <c r="H10" s="29"/>
      <c r="I10" s="30"/>
      <c r="J10" s="104">
        <v>4</v>
      </c>
      <c r="K10" s="104">
        <f>MAX(K12:K73)</f>
        <v>71</v>
      </c>
    </row>
    <row r="11" spans="1:12">
      <c r="A11" s="34">
        <f>IF(OR(LEFT(B11,1)=" ",B11=""),"",MAX($A$9:A10)+1)</f>
        <v>1</v>
      </c>
      <c r="B11" s="97" t="s">
        <v>107</v>
      </c>
      <c r="C11" s="35"/>
      <c r="D11" s="36">
        <v>0</v>
      </c>
      <c r="E11" s="39" t="s">
        <v>44</v>
      </c>
      <c r="F11" s="100" t="s">
        <v>108</v>
      </c>
      <c r="G11" s="37">
        <v>0</v>
      </c>
      <c r="H11" s="38">
        <f>SUM($G$1:G11)</f>
        <v>0</v>
      </c>
      <c r="I11" s="30"/>
      <c r="J11" s="104" t="e">
        <f>IF(F11="",1,0)+#REF!</f>
        <v>#REF!</v>
      </c>
      <c r="K11" s="104">
        <f t="shared" ref="K11:K40" si="0">IF(A11="","",ROW(A11))</f>
        <v>11</v>
      </c>
    </row>
    <row r="12" spans="1:12" ht="28">
      <c r="A12" s="34">
        <f>IF(OR(LEFT(B12,1)=" ",B12=""),"",MAX($A$9:A11)+1)</f>
        <v>2</v>
      </c>
      <c r="B12" s="97" t="s">
        <v>179</v>
      </c>
      <c r="C12" s="35"/>
      <c r="D12" s="36">
        <v>0</v>
      </c>
      <c r="E12" s="39" t="s">
        <v>44</v>
      </c>
      <c r="F12" s="100" t="s">
        <v>32</v>
      </c>
      <c r="G12" s="37">
        <v>0</v>
      </c>
      <c r="H12" s="38">
        <f>SUM($G$1:G12)</f>
        <v>0</v>
      </c>
      <c r="I12" s="30"/>
      <c r="J12" s="104" t="e">
        <f t="shared" ref="J12:J17" si="1">IF(F12="",1,0)+J11</f>
        <v>#REF!</v>
      </c>
      <c r="K12" s="104">
        <f t="shared" si="0"/>
        <v>12</v>
      </c>
    </row>
    <row r="13" spans="1:12">
      <c r="A13" s="34">
        <f>IF(OR(LEFT(B13,1)=" ",B13=""),"",MAX($A$9:A12)+1)</f>
        <v>3</v>
      </c>
      <c r="B13" s="97" t="s">
        <v>124</v>
      </c>
      <c r="C13" s="35"/>
      <c r="D13" s="36">
        <v>0</v>
      </c>
      <c r="E13" s="39" t="s">
        <v>44</v>
      </c>
      <c r="F13" s="100" t="s">
        <v>32</v>
      </c>
      <c r="G13" s="37">
        <v>0</v>
      </c>
      <c r="H13" s="38">
        <f>SUM($G$1:G13)</f>
        <v>0</v>
      </c>
      <c r="I13" s="30"/>
      <c r="J13" s="104" t="e">
        <f t="shared" si="1"/>
        <v>#REF!</v>
      </c>
      <c r="K13" s="104">
        <f t="shared" si="0"/>
        <v>13</v>
      </c>
    </row>
    <row r="14" spans="1:12" ht="28">
      <c r="A14" s="34">
        <f>IF(OR(LEFT(B14,1)=" ",B14=""),"",MAX($A$9:A13)+1)</f>
        <v>4</v>
      </c>
      <c r="B14" s="97" t="s">
        <v>171</v>
      </c>
      <c r="C14" s="35"/>
      <c r="D14" s="36">
        <v>0</v>
      </c>
      <c r="E14" s="39" t="s">
        <v>44</v>
      </c>
      <c r="F14" s="100" t="s">
        <v>32</v>
      </c>
      <c r="G14" s="37">
        <v>0</v>
      </c>
      <c r="H14" s="38">
        <f>SUM($G$1:G14)</f>
        <v>0</v>
      </c>
      <c r="I14" s="30"/>
      <c r="J14" s="104" t="e">
        <f t="shared" si="1"/>
        <v>#REF!</v>
      </c>
      <c r="K14" s="104">
        <f t="shared" si="0"/>
        <v>14</v>
      </c>
    </row>
    <row r="15" spans="1:12" s="104" customFormat="1">
      <c r="A15" s="34">
        <f>IF(OR(LEFT(B15,1)=" ",B15=""),"",MAX($A$9:A14)+1)</f>
        <v>5</v>
      </c>
      <c r="B15" s="97" t="s">
        <v>111</v>
      </c>
      <c r="C15" s="98"/>
      <c r="D15" s="99">
        <v>0</v>
      </c>
      <c r="E15" s="39" t="s">
        <v>44</v>
      </c>
      <c r="F15" s="100" t="s">
        <v>35</v>
      </c>
      <c r="G15" s="101">
        <v>0</v>
      </c>
      <c r="H15" s="102">
        <v>0</v>
      </c>
      <c r="I15" s="103"/>
      <c r="J15" s="104" t="e">
        <f t="shared" si="1"/>
        <v>#REF!</v>
      </c>
      <c r="K15" s="104">
        <f t="shared" si="0"/>
        <v>15</v>
      </c>
    </row>
    <row r="16" spans="1:12" ht="28">
      <c r="A16" s="34">
        <f>IF(OR(LEFT(B16,1)=" ",B16=""),"",MAX($A$9:A15)+1)</f>
        <v>6</v>
      </c>
      <c r="B16" s="97" t="s">
        <v>167</v>
      </c>
      <c r="C16" s="35"/>
      <c r="D16" s="36">
        <v>0</v>
      </c>
      <c r="E16" s="39" t="s">
        <v>44</v>
      </c>
      <c r="F16" s="100" t="s">
        <v>92</v>
      </c>
      <c r="G16" s="37">
        <v>0</v>
      </c>
      <c r="H16" s="38">
        <v>0</v>
      </c>
      <c r="I16" s="30"/>
      <c r="J16" s="104" t="e">
        <f t="shared" si="1"/>
        <v>#REF!</v>
      </c>
      <c r="K16" s="104">
        <f t="shared" si="0"/>
        <v>16</v>
      </c>
    </row>
    <row r="17" spans="1:12">
      <c r="A17" s="34">
        <f>IF(OR(LEFT(B17,1)=" ",B17=""),"",MAX($A$9:A16)+1)</f>
        <v>7</v>
      </c>
      <c r="B17" s="97" t="s">
        <v>89</v>
      </c>
      <c r="C17" s="35" t="s">
        <v>6</v>
      </c>
      <c r="D17" s="36">
        <v>0</v>
      </c>
      <c r="E17" s="39" t="s">
        <v>44</v>
      </c>
      <c r="F17" s="109"/>
      <c r="G17" s="37">
        <v>50</v>
      </c>
      <c r="H17" s="38">
        <f>SUM($G$1:G17)</f>
        <v>50</v>
      </c>
      <c r="I17" s="30"/>
      <c r="J17" s="104" t="e">
        <f t="shared" si="1"/>
        <v>#REF!</v>
      </c>
      <c r="K17" s="104">
        <f t="shared" si="0"/>
        <v>17</v>
      </c>
    </row>
    <row r="18" spans="1:12">
      <c r="A18" s="34">
        <f>IF(OR(LEFT(B18,1)=" ",B18=""),"",MAX($A$9:A17)+1)</f>
        <v>8</v>
      </c>
      <c r="B18" s="97" t="s">
        <v>129</v>
      </c>
      <c r="C18" s="35"/>
      <c r="D18" s="36">
        <v>0</v>
      </c>
      <c r="E18" s="39" t="s">
        <v>44</v>
      </c>
      <c r="F18" s="108" t="s">
        <v>125</v>
      </c>
      <c r="G18" s="37">
        <v>0</v>
      </c>
      <c r="H18" s="38">
        <f>SUM($G$1:G18)</f>
        <v>50</v>
      </c>
      <c r="I18" s="30"/>
      <c r="J18" s="104" t="e">
        <f>IF(F18="",1,0)+J16</f>
        <v>#REF!</v>
      </c>
      <c r="K18" s="104">
        <f t="shared" si="0"/>
        <v>18</v>
      </c>
    </row>
    <row r="19" spans="1:12">
      <c r="A19" s="34">
        <f>IF(OR(LEFT(B19,1)=" ",B19=""),"",MAX($A$9:A18)+1)</f>
        <v>9</v>
      </c>
      <c r="B19" s="97" t="s">
        <v>46</v>
      </c>
      <c r="C19" s="35" t="s">
        <v>7</v>
      </c>
      <c r="D19" s="36">
        <v>0</v>
      </c>
      <c r="E19" s="39" t="s">
        <v>44</v>
      </c>
      <c r="F19" s="108" t="s">
        <v>35</v>
      </c>
      <c r="G19" s="37">
        <v>0</v>
      </c>
      <c r="H19" s="38">
        <f>SUM($G$1:G19)</f>
        <v>50</v>
      </c>
      <c r="I19" s="30"/>
      <c r="J19" s="104" t="e">
        <f>IF(F19="",1,0)+J17</f>
        <v>#REF!</v>
      </c>
      <c r="K19" s="104">
        <f t="shared" si="0"/>
        <v>19</v>
      </c>
    </row>
    <row r="20" spans="1:12">
      <c r="A20" s="34">
        <f>IF(OR(LEFT(B20,1)=" ",B20=""),"",MAX($A$9:A19)+1)</f>
        <v>10</v>
      </c>
      <c r="B20" s="97" t="s">
        <v>78</v>
      </c>
      <c r="C20" s="35" t="s">
        <v>6</v>
      </c>
      <c r="D20" s="36">
        <v>0</v>
      </c>
      <c r="E20" s="39" t="s">
        <v>44</v>
      </c>
      <c r="F20" s="100" t="s">
        <v>35</v>
      </c>
      <c r="G20" s="37">
        <v>0</v>
      </c>
      <c r="H20" s="38">
        <f>SUM($G$1:G20)</f>
        <v>50</v>
      </c>
      <c r="I20" s="30"/>
      <c r="J20" s="104" t="e">
        <f>IF(F20="",1,0)+J18</f>
        <v>#REF!</v>
      </c>
      <c r="K20" s="104">
        <f t="shared" si="0"/>
        <v>20</v>
      </c>
    </row>
    <row r="21" spans="1:12">
      <c r="A21" s="34">
        <f>IF(OR(LEFT(B21,1)=" ",B21=""),"",MAX($A$9:A20)+1)</f>
        <v>11</v>
      </c>
      <c r="B21" s="97" t="s">
        <v>104</v>
      </c>
      <c r="C21" s="35"/>
      <c r="D21" s="36">
        <v>0</v>
      </c>
      <c r="E21" s="39" t="s">
        <v>44</v>
      </c>
      <c r="F21" s="100" t="s">
        <v>35</v>
      </c>
      <c r="G21" s="37">
        <v>0</v>
      </c>
      <c r="H21" s="38">
        <f>SUM($G$1:G21)</f>
        <v>50</v>
      </c>
      <c r="I21" s="30"/>
      <c r="J21" s="104" t="e">
        <f t="shared" ref="J21:J35" si="2">IF(F21="",1,0)+J20</f>
        <v>#REF!</v>
      </c>
      <c r="K21" s="104">
        <f t="shared" si="0"/>
        <v>21</v>
      </c>
    </row>
    <row r="22" spans="1:12">
      <c r="A22" s="34">
        <f>IF(OR(LEFT(B22,1)=" ",B22=""),"",MAX($A$9:A21)+1)</f>
        <v>12</v>
      </c>
      <c r="B22" s="97" t="s">
        <v>56</v>
      </c>
      <c r="C22" s="35" t="s">
        <v>8</v>
      </c>
      <c r="D22" s="36">
        <v>0</v>
      </c>
      <c r="E22" s="39" t="s">
        <v>44</v>
      </c>
      <c r="F22" s="100" t="s">
        <v>9</v>
      </c>
      <c r="G22" s="37">
        <v>15</v>
      </c>
      <c r="H22" s="38">
        <f>SUM($G$1:G22)</f>
        <v>65</v>
      </c>
      <c r="I22" s="30"/>
      <c r="J22" s="104" t="e">
        <f t="shared" si="2"/>
        <v>#REF!</v>
      </c>
      <c r="K22" s="104">
        <f t="shared" si="0"/>
        <v>22</v>
      </c>
    </row>
    <row r="23" spans="1:12">
      <c r="A23" s="34">
        <f>IF(OR(LEFT(B23,1)=" ",B23=""),"",MAX($A$9:A22)+1)</f>
        <v>13</v>
      </c>
      <c r="B23" s="97" t="s">
        <v>79</v>
      </c>
      <c r="C23" s="35" t="s">
        <v>6</v>
      </c>
      <c r="D23" s="36">
        <v>0</v>
      </c>
      <c r="E23" s="39" t="s">
        <v>44</v>
      </c>
      <c r="F23" s="100" t="s">
        <v>81</v>
      </c>
      <c r="G23" s="37">
        <v>20</v>
      </c>
      <c r="H23" s="38">
        <f>SUM($G$1:G23)</f>
        <v>85</v>
      </c>
      <c r="I23" s="30"/>
      <c r="J23" s="104" t="e">
        <f t="shared" si="2"/>
        <v>#REF!</v>
      </c>
      <c r="K23" s="104">
        <f t="shared" si="0"/>
        <v>23</v>
      </c>
    </row>
    <row r="24" spans="1:12">
      <c r="A24" s="34">
        <f>IF(OR(LEFT(B24,1)=" ",B24=""),"",MAX($A$9:A23)+1)</f>
        <v>14</v>
      </c>
      <c r="B24" s="97" t="s">
        <v>45</v>
      </c>
      <c r="C24" s="35"/>
      <c r="D24" s="36">
        <v>0</v>
      </c>
      <c r="E24" s="39" t="s">
        <v>44</v>
      </c>
      <c r="F24" s="100" t="s">
        <v>81</v>
      </c>
      <c r="G24" s="37">
        <v>0</v>
      </c>
      <c r="H24" s="38">
        <f>SUM($G$1:G24)</f>
        <v>85</v>
      </c>
      <c r="I24" s="30"/>
      <c r="J24" s="104" t="e">
        <f t="shared" si="2"/>
        <v>#REF!</v>
      </c>
      <c r="K24" s="104">
        <f t="shared" si="0"/>
        <v>24</v>
      </c>
    </row>
    <row r="25" spans="1:12">
      <c r="A25" s="34">
        <f>IF(OR(LEFT(B25,1)=" ",B25=""),"",MAX($A$9:A24)+1)</f>
        <v>15</v>
      </c>
      <c r="B25" s="97" t="s">
        <v>105</v>
      </c>
      <c r="C25" s="35"/>
      <c r="D25" s="36">
        <v>0</v>
      </c>
      <c r="E25" s="39" t="s">
        <v>44</v>
      </c>
      <c r="F25" s="100" t="s">
        <v>55</v>
      </c>
      <c r="G25" s="37">
        <v>0</v>
      </c>
      <c r="H25" s="38">
        <f>SUM($G$1:G25)</f>
        <v>85</v>
      </c>
      <c r="I25" s="30"/>
      <c r="J25" s="104" t="e">
        <f t="shared" si="2"/>
        <v>#REF!</v>
      </c>
      <c r="K25" s="104">
        <f t="shared" si="0"/>
        <v>25</v>
      </c>
    </row>
    <row r="26" spans="1:12">
      <c r="A26" s="34">
        <f>IF(OR(LEFT(B26,1)=" ",B26=""),"",MAX($A$9:A25)+1)</f>
        <v>16</v>
      </c>
      <c r="B26" s="97" t="s">
        <v>90</v>
      </c>
      <c r="C26" s="35"/>
      <c r="D26" s="36">
        <v>0</v>
      </c>
      <c r="E26" s="39" t="s">
        <v>44</v>
      </c>
      <c r="F26" s="100" t="s">
        <v>109</v>
      </c>
      <c r="G26" s="37">
        <v>0</v>
      </c>
      <c r="H26" s="38">
        <f>SUM($G$1:G26)</f>
        <v>85</v>
      </c>
      <c r="I26" s="30"/>
      <c r="J26" s="104" t="e">
        <f t="shared" si="2"/>
        <v>#REF!</v>
      </c>
      <c r="K26" s="104">
        <f t="shared" si="0"/>
        <v>26</v>
      </c>
    </row>
    <row r="27" spans="1:12">
      <c r="A27" s="34">
        <f>IF(OR(LEFT(B27,1)=" ",B27=""),"",MAX($A$9:A26)+1)</f>
        <v>17</v>
      </c>
      <c r="B27" s="129" t="s">
        <v>67</v>
      </c>
      <c r="C27" s="35"/>
      <c r="D27" s="36">
        <v>7</v>
      </c>
      <c r="E27" s="39" t="s">
        <v>44</v>
      </c>
      <c r="F27" s="100" t="s">
        <v>11</v>
      </c>
      <c r="G27" s="37">
        <v>0</v>
      </c>
      <c r="H27" s="38">
        <f>SUM($G$1:G27)</f>
        <v>85</v>
      </c>
      <c r="I27" s="30"/>
      <c r="J27" s="104" t="e">
        <f t="shared" si="2"/>
        <v>#REF!</v>
      </c>
      <c r="K27" s="104">
        <f t="shared" si="0"/>
        <v>27</v>
      </c>
    </row>
    <row r="28" spans="1:12" ht="42">
      <c r="A28" s="34">
        <f>IF(OR(LEFT(B28,1)=" ",B28=""),"",MAX($A$9:A27)+1)</f>
        <v>18</v>
      </c>
      <c r="B28" s="97" t="s">
        <v>168</v>
      </c>
      <c r="C28" s="35"/>
      <c r="D28" s="36">
        <v>0</v>
      </c>
      <c r="E28" s="39" t="s">
        <v>44</v>
      </c>
      <c r="F28" s="100" t="s">
        <v>109</v>
      </c>
      <c r="G28" s="37">
        <v>0</v>
      </c>
      <c r="H28" s="38">
        <f>SUM($G$1:G28)</f>
        <v>85</v>
      </c>
      <c r="I28" s="30"/>
      <c r="J28" s="104" t="e">
        <f t="shared" si="2"/>
        <v>#REF!</v>
      </c>
      <c r="K28" s="104">
        <f t="shared" si="0"/>
        <v>28</v>
      </c>
    </row>
    <row r="29" spans="1:12">
      <c r="A29" s="34">
        <f>IF(OR(LEFT(B29,1)=" ",B29=""),"",MAX($A$9:A28)+1)</f>
        <v>19</v>
      </c>
      <c r="B29" s="97" t="s">
        <v>86</v>
      </c>
      <c r="C29" s="35"/>
      <c r="D29" s="36">
        <v>0</v>
      </c>
      <c r="E29" s="39" t="s">
        <v>44</v>
      </c>
      <c r="F29" s="100" t="s">
        <v>11</v>
      </c>
      <c r="G29" s="37">
        <v>0</v>
      </c>
      <c r="H29" s="38">
        <f>SUM($G$1:G29)</f>
        <v>85</v>
      </c>
      <c r="I29" s="30"/>
      <c r="J29" s="104" t="e">
        <f t="shared" si="2"/>
        <v>#REF!</v>
      </c>
      <c r="K29" s="104">
        <f t="shared" si="0"/>
        <v>29</v>
      </c>
    </row>
    <row r="30" spans="1:12" ht="28">
      <c r="A30" s="34">
        <f>IF(OR(LEFT(B30,1)=" ",B30=""),"",MAX($A$9:A29)+1)</f>
        <v>20</v>
      </c>
      <c r="B30" s="129" t="s">
        <v>66</v>
      </c>
      <c r="C30" s="35"/>
      <c r="D30" s="36">
        <v>7</v>
      </c>
      <c r="E30" s="39" t="s">
        <v>44</v>
      </c>
      <c r="F30" s="100" t="s">
        <v>109</v>
      </c>
      <c r="G30" s="37">
        <v>0</v>
      </c>
      <c r="H30" s="38">
        <f>SUM($G$1:G30)</f>
        <v>85</v>
      </c>
      <c r="I30" s="30"/>
      <c r="J30" s="104" t="e">
        <f t="shared" si="2"/>
        <v>#REF!</v>
      </c>
      <c r="K30" s="104">
        <f t="shared" si="0"/>
        <v>30</v>
      </c>
    </row>
    <row r="31" spans="1:12">
      <c r="A31" s="34">
        <f>IF(OR(LEFT(B31,1)=" ",B31=""),"",MAX($A$9:A30)+1)</f>
        <v>21</v>
      </c>
      <c r="B31" s="97" t="s">
        <v>112</v>
      </c>
      <c r="C31" s="35" t="s">
        <v>10</v>
      </c>
      <c r="D31" s="36">
        <v>0</v>
      </c>
      <c r="E31" s="39" t="s">
        <v>44</v>
      </c>
      <c r="F31" s="100" t="s">
        <v>84</v>
      </c>
      <c r="G31" s="37">
        <v>0</v>
      </c>
      <c r="H31" s="38">
        <f>SUM($G$1:G31)</f>
        <v>85</v>
      </c>
      <c r="I31" s="30"/>
      <c r="J31" s="104" t="e">
        <f t="shared" si="2"/>
        <v>#REF!</v>
      </c>
      <c r="K31" s="104">
        <f t="shared" si="0"/>
        <v>31</v>
      </c>
    </row>
    <row r="32" spans="1:12">
      <c r="A32" s="34">
        <f>IF(OR(LEFT(B32,1)=" ",B32=""),"",MAX($A$9:A31)+1)</f>
        <v>22</v>
      </c>
      <c r="B32" s="97" t="s">
        <v>91</v>
      </c>
      <c r="C32" s="35"/>
      <c r="D32" s="36">
        <v>0</v>
      </c>
      <c r="E32" s="39" t="s">
        <v>44</v>
      </c>
      <c r="F32" s="100" t="s">
        <v>53</v>
      </c>
      <c r="G32" s="37">
        <v>0</v>
      </c>
      <c r="H32" s="38">
        <f>SUM($G$1:G32)</f>
        <v>85</v>
      </c>
      <c r="I32" s="32"/>
      <c r="J32" s="104" t="e">
        <f t="shared" si="2"/>
        <v>#REF!</v>
      </c>
      <c r="K32" s="104">
        <f t="shared" si="0"/>
        <v>32</v>
      </c>
      <c r="L32" s="33"/>
    </row>
    <row r="33" spans="1:12">
      <c r="A33" s="34">
        <f>IF(OR(LEFT(B33,1)=" ",B33=""),"",MAX($A$9:A32)+1)</f>
        <v>23</v>
      </c>
      <c r="B33" s="129" t="s">
        <v>87</v>
      </c>
      <c r="C33" s="40"/>
      <c r="D33" s="41">
        <v>7</v>
      </c>
      <c r="E33" s="39" t="s">
        <v>44</v>
      </c>
      <c r="F33" s="100" t="s">
        <v>40</v>
      </c>
      <c r="G33" s="43">
        <v>0</v>
      </c>
      <c r="H33" s="44">
        <f>SUM($G$1:G33)</f>
        <v>85</v>
      </c>
      <c r="I33" s="30"/>
      <c r="J33" s="104" t="e">
        <f t="shared" si="2"/>
        <v>#REF!</v>
      </c>
      <c r="K33" s="104">
        <f t="shared" si="0"/>
        <v>33</v>
      </c>
    </row>
    <row r="34" spans="1:12" s="33" customFormat="1" ht="28">
      <c r="A34" s="34">
        <f>IF(OR(LEFT(B34,1)=" ",B34=""),"",MAX($A$9:A33)+1)</f>
        <v>24</v>
      </c>
      <c r="B34" s="97" t="s">
        <v>170</v>
      </c>
      <c r="C34" s="35"/>
      <c r="D34" s="36">
        <v>0</v>
      </c>
      <c r="E34" s="42" t="s">
        <v>44</v>
      </c>
      <c r="F34" s="110" t="s">
        <v>53</v>
      </c>
      <c r="G34" s="37">
        <v>0</v>
      </c>
      <c r="H34" s="38">
        <f>SUM($G$1:G34)</f>
        <v>85</v>
      </c>
      <c r="I34" s="30"/>
      <c r="J34" s="104" t="e">
        <f t="shared" si="2"/>
        <v>#REF!</v>
      </c>
      <c r="K34" s="104">
        <f t="shared" si="0"/>
        <v>34</v>
      </c>
      <c r="L34" s="31"/>
    </row>
    <row r="35" spans="1:12">
      <c r="A35" s="34">
        <f>IF(OR(LEFT(B35,1)=" ",B35=""),"",MAX($A$9:A34)+1)</f>
        <v>25</v>
      </c>
      <c r="B35" s="97" t="s">
        <v>106</v>
      </c>
      <c r="C35" s="35"/>
      <c r="D35" s="36">
        <v>0</v>
      </c>
      <c r="E35" s="42" t="s">
        <v>44</v>
      </c>
      <c r="F35" s="108" t="s">
        <v>53</v>
      </c>
      <c r="G35" s="37">
        <v>0</v>
      </c>
      <c r="H35" s="38">
        <f>SUM($G$1:G35)</f>
        <v>85</v>
      </c>
      <c r="I35" s="30"/>
      <c r="J35" s="104" t="e">
        <f t="shared" si="2"/>
        <v>#REF!</v>
      </c>
      <c r="K35" s="104">
        <f t="shared" si="0"/>
        <v>35</v>
      </c>
    </row>
    <row r="36" spans="1:12" ht="28">
      <c r="A36" s="34">
        <f>IF(OR(LEFT(B36,1)=" ",B36=""),"",MAX($A$9:A35)+1)</f>
        <v>26</v>
      </c>
      <c r="B36" s="97" t="s">
        <v>103</v>
      </c>
      <c r="C36" s="35"/>
      <c r="D36" s="36">
        <v>0</v>
      </c>
      <c r="E36" s="39" t="s">
        <v>110</v>
      </c>
      <c r="F36" s="108" t="s">
        <v>35</v>
      </c>
      <c r="G36" s="37">
        <v>20</v>
      </c>
      <c r="H36" s="38">
        <f>SUM($G$1:G36)</f>
        <v>105</v>
      </c>
      <c r="I36" s="30"/>
      <c r="J36" s="104" t="e">
        <f>IF(F36="",1,0)+J34</f>
        <v>#REF!</v>
      </c>
      <c r="K36" s="104">
        <f t="shared" si="0"/>
        <v>36</v>
      </c>
    </row>
    <row r="37" spans="1:12">
      <c r="A37" s="34">
        <f>IF(OR(LEFT(B37,1)=" ",B37=""),"",MAX($A$9:A36)+1)</f>
        <v>27</v>
      </c>
      <c r="B37" s="120" t="s">
        <v>69</v>
      </c>
      <c r="C37" s="45"/>
      <c r="D37" s="46">
        <v>0</v>
      </c>
      <c r="E37" s="42" t="s">
        <v>110</v>
      </c>
      <c r="F37" s="108" t="s">
        <v>35</v>
      </c>
      <c r="G37" s="47">
        <v>0</v>
      </c>
      <c r="H37" s="38">
        <f>SUM($G$1:G37)</f>
        <v>105</v>
      </c>
      <c r="I37" s="30"/>
      <c r="J37" s="104" t="e">
        <f>IF(F37="",1,0)+J35</f>
        <v>#REF!</v>
      </c>
      <c r="K37" s="104">
        <f t="shared" si="0"/>
        <v>37</v>
      </c>
    </row>
    <row r="38" spans="1:12" s="1" customFormat="1" ht="56">
      <c r="A38" s="34">
        <f>IF(OR(LEFT(B38,1)=" ",B38=""),"",MAX($A$9:A37)+1)</f>
        <v>28</v>
      </c>
      <c r="B38" s="69" t="s">
        <v>175</v>
      </c>
      <c r="C38" s="45"/>
      <c r="D38" s="46">
        <v>1</v>
      </c>
      <c r="E38" s="42" t="s">
        <v>44</v>
      </c>
      <c r="F38" s="108" t="s">
        <v>128</v>
      </c>
      <c r="G38" s="48">
        <v>50</v>
      </c>
      <c r="H38" s="38">
        <f>SUM($G$1:G38)</f>
        <v>155</v>
      </c>
      <c r="I38" s="30"/>
      <c r="J38" s="104" t="e">
        <f>IF(F38="",1,0)+J37</f>
        <v>#REF!</v>
      </c>
      <c r="K38" s="104">
        <f t="shared" si="0"/>
        <v>38</v>
      </c>
    </row>
    <row r="39" spans="1:12" s="1" customFormat="1" ht="42">
      <c r="A39" s="34">
        <f>IF(OR(LEFT(B39,1)=" ",B39=""),"",MAX($A$9:A38)+1)</f>
        <v>29</v>
      </c>
      <c r="B39" s="69" t="s">
        <v>182</v>
      </c>
      <c r="C39" s="45"/>
      <c r="D39" s="46">
        <v>0</v>
      </c>
      <c r="E39" s="42" t="s">
        <v>44</v>
      </c>
      <c r="F39" s="108" t="s">
        <v>32</v>
      </c>
      <c r="G39" s="48">
        <v>5</v>
      </c>
      <c r="H39" s="38">
        <f>SUM($G$1:G39)</f>
        <v>160</v>
      </c>
      <c r="I39" s="30"/>
      <c r="J39" s="104"/>
      <c r="K39" s="104"/>
    </row>
    <row r="40" spans="1:12" s="1" customFormat="1">
      <c r="A40" s="34">
        <f>IF(OR(LEFT(B40,1)=" ",B40=""),"",MAX($A$9:A39)+1)</f>
        <v>30</v>
      </c>
      <c r="B40" s="69" t="s">
        <v>139</v>
      </c>
      <c r="C40" s="45"/>
      <c r="D40" s="46">
        <v>5</v>
      </c>
      <c r="E40" s="42" t="s">
        <v>93</v>
      </c>
      <c r="F40" s="108" t="s">
        <v>40</v>
      </c>
      <c r="G40" s="48">
        <v>0</v>
      </c>
      <c r="H40" s="38">
        <f>SUM($G$1:G40)</f>
        <v>160</v>
      </c>
      <c r="I40" s="30"/>
      <c r="J40" s="104" t="e">
        <f>IF(F40="",1,0)+J38</f>
        <v>#REF!</v>
      </c>
      <c r="K40" s="104">
        <f t="shared" si="0"/>
        <v>40</v>
      </c>
    </row>
    <row r="41" spans="1:12">
      <c r="A41" s="34" t="str">
        <f>IF(OR(LEFT(B41,1)=" ",B41=""),"",MAX($A$9:A37)+1)</f>
        <v/>
      </c>
      <c r="B41" s="121" t="s">
        <v>88</v>
      </c>
      <c r="C41" s="45"/>
      <c r="D41" s="46"/>
      <c r="E41" s="42"/>
      <c r="F41" s="108"/>
      <c r="G41" s="48"/>
      <c r="H41" s="38"/>
      <c r="I41" s="30"/>
      <c r="J41" s="104" t="e">
        <f>IF(F41="",1,0)+J37</f>
        <v>#REF!</v>
      </c>
      <c r="K41" s="104" t="str">
        <f t="shared" ref="K41:K47" si="3">IF(A41="","",ROW(A41))</f>
        <v/>
      </c>
    </row>
    <row r="42" spans="1:12" s="1" customFormat="1">
      <c r="A42" s="34">
        <f>IF(OR(LEFT(B42,1)=" ",B42=""),"",MAX($A$9:A41)+1)</f>
        <v>31</v>
      </c>
      <c r="B42" s="69" t="s">
        <v>141</v>
      </c>
      <c r="C42" s="45"/>
      <c r="D42" s="46">
        <v>1</v>
      </c>
      <c r="E42" s="42" t="s">
        <v>94</v>
      </c>
      <c r="F42" s="108" t="s">
        <v>147</v>
      </c>
      <c r="G42" s="48">
        <v>0</v>
      </c>
      <c r="H42" s="38">
        <f>SUM($G$1:G42)</f>
        <v>160</v>
      </c>
      <c r="I42" s="30"/>
      <c r="J42" s="104" t="e">
        <f>IF(F42="",1,0)+J33</f>
        <v>#REF!</v>
      </c>
      <c r="K42" s="104">
        <f t="shared" si="3"/>
        <v>42</v>
      </c>
    </row>
    <row r="43" spans="1:12" s="1" customFormat="1" ht="42">
      <c r="A43" s="34">
        <f>IF(OR(LEFT(B43,1)=" ",B43=""),"",MAX($A$9:A42)+1)</f>
        <v>32</v>
      </c>
      <c r="B43" s="69" t="s">
        <v>165</v>
      </c>
      <c r="C43" s="45"/>
      <c r="D43" s="46">
        <v>5</v>
      </c>
      <c r="E43" s="128" t="s">
        <v>123</v>
      </c>
      <c r="F43" s="108" t="s">
        <v>35</v>
      </c>
      <c r="G43" s="48">
        <v>0</v>
      </c>
      <c r="H43" s="38">
        <f>SUM($G$1:G43)</f>
        <v>160</v>
      </c>
      <c r="I43" s="30"/>
      <c r="J43" s="104" t="e">
        <f>IF(F43="",1,0)+#REF!</f>
        <v>#REF!</v>
      </c>
      <c r="K43" s="104">
        <f t="shared" si="3"/>
        <v>43</v>
      </c>
    </row>
    <row r="44" spans="1:12" s="1" customFormat="1">
      <c r="A44" s="34">
        <f>IF(OR(LEFT(B44,1)=" ",B44=""),"",MAX($A$9:A43)+1)</f>
        <v>33</v>
      </c>
      <c r="B44" s="69" t="s">
        <v>131</v>
      </c>
      <c r="C44" s="45"/>
      <c r="D44" s="46">
        <v>1</v>
      </c>
      <c r="E44" s="42" t="s">
        <v>130</v>
      </c>
      <c r="F44" s="108" t="s">
        <v>140</v>
      </c>
      <c r="G44" s="48">
        <v>0</v>
      </c>
      <c r="H44" s="38">
        <f>SUM($G$1:G44)</f>
        <v>160</v>
      </c>
      <c r="I44" s="30"/>
      <c r="J44" s="104" t="e">
        <f>IF(F44="",1,0)+J34</f>
        <v>#REF!</v>
      </c>
      <c r="K44" s="104">
        <f t="shared" si="3"/>
        <v>44</v>
      </c>
    </row>
    <row r="45" spans="1:12" s="1" customFormat="1" ht="28">
      <c r="A45" s="34">
        <f>IF(OR(LEFT(B45,1)=" ",B45=""),"",MAX($A$9:A44)+1)</f>
        <v>34</v>
      </c>
      <c r="B45" s="69" t="s">
        <v>135</v>
      </c>
      <c r="C45" s="45"/>
      <c r="D45" s="46">
        <v>5</v>
      </c>
      <c r="E45" s="42" t="s">
        <v>136</v>
      </c>
      <c r="F45" s="108" t="s">
        <v>11</v>
      </c>
      <c r="G45" s="48">
        <v>50</v>
      </c>
      <c r="H45" s="38">
        <f>SUM($G$1:G45)</f>
        <v>210</v>
      </c>
      <c r="I45" s="30"/>
      <c r="J45" s="104" t="e">
        <f>IF(F45="",1,0)+#REF!</f>
        <v>#REF!</v>
      </c>
      <c r="K45" s="104">
        <f t="shared" si="3"/>
        <v>45</v>
      </c>
    </row>
    <row r="46" spans="1:12" s="1" customFormat="1" ht="28">
      <c r="A46" s="34">
        <f>IF(OR(LEFT(B46,1)=" ",B46=""),"",MAX($A$9:A45)+1)</f>
        <v>35</v>
      </c>
      <c r="B46" s="69" t="s">
        <v>134</v>
      </c>
      <c r="C46" s="45"/>
      <c r="D46" s="46">
        <v>4</v>
      </c>
      <c r="E46" s="42" t="s">
        <v>94</v>
      </c>
      <c r="F46" s="108" t="s">
        <v>143</v>
      </c>
      <c r="G46" s="48">
        <v>20</v>
      </c>
      <c r="H46" s="38">
        <f>SUM($G$1:G46)</f>
        <v>230</v>
      </c>
      <c r="I46" s="30"/>
      <c r="J46" s="104" t="e">
        <f>IF(F46="",1,0)+#REF!</f>
        <v>#REF!</v>
      </c>
      <c r="K46" s="104">
        <f t="shared" si="3"/>
        <v>46</v>
      </c>
    </row>
    <row r="47" spans="1:12" s="1" customFormat="1" ht="28">
      <c r="A47" s="34">
        <f>IF(OR(LEFT(B47,1)=" ",B47=""),"",MAX($A$9:A46)+1)</f>
        <v>36</v>
      </c>
      <c r="B47" s="69" t="s">
        <v>133</v>
      </c>
      <c r="C47" s="45"/>
      <c r="D47" s="46">
        <v>3</v>
      </c>
      <c r="E47" s="42" t="s">
        <v>142</v>
      </c>
      <c r="F47" s="100" t="s">
        <v>40</v>
      </c>
      <c r="G47" s="48">
        <v>0</v>
      </c>
      <c r="H47" s="38">
        <f>SUM($G$1:G47)</f>
        <v>230</v>
      </c>
      <c r="I47" s="30"/>
      <c r="J47" s="104" t="e">
        <f>IF(F47="",1,0)+#REF!</f>
        <v>#REF!</v>
      </c>
      <c r="K47" s="104">
        <f t="shared" si="3"/>
        <v>47</v>
      </c>
    </row>
    <row r="48" spans="1:12" s="1" customFormat="1">
      <c r="A48" s="34" t="str">
        <f>IF(OR(LEFT(B48,1)=" ",B48=""),"",MAX($A$9:A42)+1)</f>
        <v/>
      </c>
      <c r="B48" s="121" t="s">
        <v>68</v>
      </c>
      <c r="C48" s="45"/>
      <c r="D48" s="46"/>
      <c r="E48" s="42"/>
      <c r="F48" s="108"/>
      <c r="G48" s="48"/>
      <c r="H48" s="38"/>
      <c r="I48" s="30"/>
      <c r="J48" s="104" t="e">
        <f>IF(F48="",1,0)+#REF!</f>
        <v>#REF!</v>
      </c>
      <c r="K48" s="104"/>
    </row>
    <row r="49" spans="1:11" s="1" customFormat="1">
      <c r="A49" s="34">
        <f>IF(OR(LEFT(B49,1)=" ",B49=""),"",MAX($A$9:A48)+1)</f>
        <v>37</v>
      </c>
      <c r="B49" s="69" t="s">
        <v>151</v>
      </c>
      <c r="C49" s="45"/>
      <c r="D49" s="46"/>
      <c r="E49" s="42"/>
      <c r="F49" s="108"/>
      <c r="G49" s="48"/>
      <c r="H49" s="38">
        <f>SUM($G$1:G49)</f>
        <v>230</v>
      </c>
      <c r="I49" s="30"/>
      <c r="J49" s="104" t="e">
        <f t="shared" ref="J49" si="4">IF(F49="",1,0)+J48</f>
        <v>#REF!</v>
      </c>
      <c r="K49" s="104">
        <f t="shared" ref="K49" si="5">IF(A49="","",ROW(A49))</f>
        <v>49</v>
      </c>
    </row>
    <row r="50" spans="1:11" s="1" customFormat="1">
      <c r="A50" s="34">
        <f>IF(OR(LEFT(B50,1)=" ",B50=""),"",MAX($A$9:A49)+1)</f>
        <v>38</v>
      </c>
      <c r="B50" s="69" t="s">
        <v>152</v>
      </c>
      <c r="C50" s="45"/>
      <c r="D50" s="46"/>
      <c r="E50" s="42"/>
      <c r="F50" s="108"/>
      <c r="G50" s="48"/>
      <c r="H50" s="38">
        <f>SUM($G$1:G50)</f>
        <v>230</v>
      </c>
      <c r="I50" s="30"/>
      <c r="J50" s="104" t="e">
        <f>IF(F50="",1,0)+#REF!</f>
        <v>#REF!</v>
      </c>
      <c r="K50" s="104">
        <f t="shared" ref="K50:K52" si="6">IF(A50="","",ROW(A50))</f>
        <v>50</v>
      </c>
    </row>
    <row r="51" spans="1:11" s="1" customFormat="1">
      <c r="A51" s="34">
        <f>IF(OR(LEFT(B51,1)=" ",B51=""),"",MAX($A$9:A50)+1)</f>
        <v>39</v>
      </c>
      <c r="B51" s="69" t="s">
        <v>153</v>
      </c>
      <c r="C51" s="45"/>
      <c r="D51" s="46"/>
      <c r="E51" s="42"/>
      <c r="F51" s="108"/>
      <c r="G51" s="48"/>
      <c r="H51" s="38">
        <f>SUM($G$1:G51)</f>
        <v>230</v>
      </c>
      <c r="I51" s="30"/>
      <c r="J51" s="104" t="e">
        <f t="shared" ref="J51:J52" si="7">IF(F51="",1,0)+J50</f>
        <v>#REF!</v>
      </c>
      <c r="K51" s="104">
        <f t="shared" si="6"/>
        <v>51</v>
      </c>
    </row>
    <row r="52" spans="1:11" s="1" customFormat="1">
      <c r="A52" s="34">
        <f>IF(OR(LEFT(B52,1)=" ",B52=""),"",MAX($A$9:A51)+1)</f>
        <v>40</v>
      </c>
      <c r="B52" s="69" t="s">
        <v>154</v>
      </c>
      <c r="C52" s="45"/>
      <c r="D52" s="46"/>
      <c r="E52" s="42"/>
      <c r="F52" s="108"/>
      <c r="G52" s="48"/>
      <c r="H52" s="38">
        <f>SUM($G$1:G52)</f>
        <v>230</v>
      </c>
      <c r="I52" s="30"/>
      <c r="J52" s="104" t="e">
        <f t="shared" si="7"/>
        <v>#REF!</v>
      </c>
      <c r="K52" s="104">
        <f t="shared" si="6"/>
        <v>52</v>
      </c>
    </row>
    <row r="53" spans="1:11" s="1" customFormat="1">
      <c r="A53" s="34">
        <f>IF(OR(LEFT(B53,1)=" ",B53=""),"",MAX($A$9:A52)+1)</f>
        <v>41</v>
      </c>
      <c r="B53" s="69" t="s">
        <v>155</v>
      </c>
      <c r="C53" s="45"/>
      <c r="D53" s="46"/>
      <c r="E53" s="42"/>
      <c r="F53" s="108"/>
      <c r="G53" s="48"/>
      <c r="H53" s="38">
        <f>SUM($G$1:G53)</f>
        <v>230</v>
      </c>
      <c r="I53" s="30"/>
      <c r="J53" s="104" t="e">
        <f t="shared" ref="J53" si="8">IF(F53="",1,0)+J52</f>
        <v>#REF!</v>
      </c>
      <c r="K53" s="104">
        <f t="shared" ref="K53:K59" si="9">IF(A53="","",ROW(A53))</f>
        <v>53</v>
      </c>
    </row>
    <row r="54" spans="1:11" s="1" customFormat="1">
      <c r="A54" s="34">
        <f>IF(OR(LEFT(B54,1)=" ",B54=""),"",MAX($A$9:A53)+1)</f>
        <v>42</v>
      </c>
      <c r="B54" s="69" t="s">
        <v>169</v>
      </c>
      <c r="C54" s="45"/>
      <c r="D54" s="46"/>
      <c r="E54" s="42"/>
      <c r="F54" s="108"/>
      <c r="G54" s="48"/>
      <c r="H54" s="38">
        <f>SUM($G$1:G54)</f>
        <v>230</v>
      </c>
      <c r="I54" s="30"/>
      <c r="J54" s="104" t="e">
        <f>IF(F54="",1,0)+#REF!</f>
        <v>#REF!</v>
      </c>
      <c r="K54" s="104">
        <f t="shared" si="9"/>
        <v>54</v>
      </c>
    </row>
    <row r="55" spans="1:11" s="1" customFormat="1">
      <c r="A55" s="34">
        <f>IF(OR(LEFT(B55,1)=" ",B55=""),"",MAX($A$9:A54)+1)</f>
        <v>43</v>
      </c>
      <c r="B55" s="69" t="s">
        <v>156</v>
      </c>
      <c r="C55" s="45"/>
      <c r="D55" s="46"/>
      <c r="E55" s="42"/>
      <c r="F55" s="108"/>
      <c r="G55" s="48"/>
      <c r="H55" s="38">
        <f>SUM($G$1:G55)</f>
        <v>230</v>
      </c>
      <c r="I55" s="30"/>
      <c r="J55" s="104" t="e">
        <f t="shared" ref="J55:J59" si="10">IF(F55="",1,0)+J54</f>
        <v>#REF!</v>
      </c>
      <c r="K55" s="104">
        <f t="shared" si="9"/>
        <v>55</v>
      </c>
    </row>
    <row r="56" spans="1:11" s="1" customFormat="1">
      <c r="A56" s="34">
        <f>IF(OR(LEFT(B56,1)=" ",B56=""),"",MAX($A$9:A55)+1)</f>
        <v>44</v>
      </c>
      <c r="B56" s="69" t="s">
        <v>157</v>
      </c>
      <c r="C56" s="45"/>
      <c r="D56" s="46"/>
      <c r="E56" s="42"/>
      <c r="F56" s="108"/>
      <c r="G56" s="48"/>
      <c r="H56" s="38">
        <f>SUM($G$1:G56)</f>
        <v>230</v>
      </c>
      <c r="I56" s="30"/>
      <c r="J56" s="104" t="e">
        <f t="shared" si="10"/>
        <v>#REF!</v>
      </c>
      <c r="K56" s="104">
        <f t="shared" si="9"/>
        <v>56</v>
      </c>
    </row>
    <row r="57" spans="1:11" s="1" customFormat="1">
      <c r="A57" s="34">
        <f>IF(OR(LEFT(B57,1)=" ",B57=""),"",MAX($A$9:A56)+1)</f>
        <v>45</v>
      </c>
      <c r="B57" s="69" t="s">
        <v>158</v>
      </c>
      <c r="C57" s="45"/>
      <c r="D57" s="46"/>
      <c r="E57" s="42"/>
      <c r="F57" s="108"/>
      <c r="G57" s="48"/>
      <c r="H57" s="38">
        <f>SUM($G$1:G57)</f>
        <v>230</v>
      </c>
      <c r="I57" s="30"/>
      <c r="J57" s="104" t="e">
        <f t="shared" si="10"/>
        <v>#REF!</v>
      </c>
      <c r="K57" s="104">
        <f t="shared" si="9"/>
        <v>57</v>
      </c>
    </row>
    <row r="58" spans="1:11" s="1" customFormat="1">
      <c r="A58" s="34">
        <f>IF(OR(LEFT(B58,1)=" ",B58=""),"",MAX($A$9:A57)+1)</f>
        <v>46</v>
      </c>
      <c r="B58" s="69" t="s">
        <v>159</v>
      </c>
      <c r="C58" s="45"/>
      <c r="D58" s="46"/>
      <c r="E58" s="42"/>
      <c r="F58" s="108"/>
      <c r="G58" s="47"/>
      <c r="H58" s="38">
        <f>SUM($G$1:G58)</f>
        <v>230</v>
      </c>
      <c r="I58" s="30"/>
      <c r="J58" s="104" t="e">
        <f t="shared" si="10"/>
        <v>#REF!</v>
      </c>
      <c r="K58" s="104">
        <f t="shared" si="9"/>
        <v>58</v>
      </c>
    </row>
    <row r="59" spans="1:11" s="1" customFormat="1">
      <c r="A59" s="34">
        <f>IF(OR(LEFT(B59,1)=" ",B59=""),"",MAX($A$9:A58)+1)</f>
        <v>47</v>
      </c>
      <c r="B59" s="69" t="s">
        <v>164</v>
      </c>
      <c r="C59" s="45"/>
      <c r="D59" s="46"/>
      <c r="E59" s="128"/>
      <c r="F59" s="108"/>
      <c r="G59" s="48"/>
      <c r="H59" s="38">
        <f>SUM($G$1:G59)</f>
        <v>230</v>
      </c>
      <c r="I59" s="30"/>
      <c r="J59" s="104" t="e">
        <f t="shared" si="10"/>
        <v>#REF!</v>
      </c>
      <c r="K59" s="104">
        <f t="shared" si="9"/>
        <v>59</v>
      </c>
    </row>
    <row r="60" spans="1:11" s="1" customFormat="1">
      <c r="A60" s="34">
        <f>IF(OR(LEFT(B60,1)=" ",B60=""),"",MAX($A$9:A59)+1)</f>
        <v>48</v>
      </c>
      <c r="B60" s="69" t="s">
        <v>160</v>
      </c>
      <c r="C60" s="45"/>
      <c r="D60" s="46"/>
      <c r="E60" s="42"/>
      <c r="F60" s="108"/>
      <c r="G60" s="47"/>
      <c r="H60" s="38">
        <f>SUM($G$1:G60)</f>
        <v>230</v>
      </c>
      <c r="I60" s="30"/>
      <c r="J60" s="104" t="e">
        <f>IF(F60="",1,0)+J59</f>
        <v>#REF!</v>
      </c>
      <c r="K60" s="104">
        <f t="shared" ref="K60:K63" si="11">IF(A60="","",ROW(A60))</f>
        <v>60</v>
      </c>
    </row>
    <row r="61" spans="1:11" s="1" customFormat="1">
      <c r="A61" s="34">
        <f>IF(OR(LEFT(B61,1)=" ",B61=""),"",MAX($A$9:A60)+1)</f>
        <v>49</v>
      </c>
      <c r="B61" s="69" t="s">
        <v>161</v>
      </c>
      <c r="C61" s="45"/>
      <c r="D61" s="46"/>
      <c r="E61" s="42"/>
      <c r="F61" s="100"/>
      <c r="G61" s="48"/>
      <c r="H61" s="38">
        <f>SUM($G$1:G61)</f>
        <v>230</v>
      </c>
      <c r="I61" s="30"/>
      <c r="J61" s="104" t="e">
        <f t="shared" ref="J61:J63" si="12">IF(F61="",1,0)+J60</f>
        <v>#REF!</v>
      </c>
      <c r="K61" s="104">
        <f t="shared" si="11"/>
        <v>61</v>
      </c>
    </row>
    <row r="62" spans="1:11" s="1" customFormat="1">
      <c r="A62" s="34">
        <f>IF(OR(LEFT(B62,1)=" ",B62=""),"",MAX($A$9:A61)+1)</f>
        <v>50</v>
      </c>
      <c r="B62" s="69" t="s">
        <v>162</v>
      </c>
      <c r="C62" s="45"/>
      <c r="D62" s="46"/>
      <c r="E62" s="42"/>
      <c r="F62" s="108"/>
      <c r="G62" s="48"/>
      <c r="H62" s="38">
        <f>SUM($G$1:G62)</f>
        <v>230</v>
      </c>
      <c r="I62" s="30"/>
      <c r="J62" s="104" t="e">
        <f t="shared" si="12"/>
        <v>#REF!</v>
      </c>
      <c r="K62" s="104">
        <f t="shared" si="11"/>
        <v>62</v>
      </c>
    </row>
    <row r="63" spans="1:11" s="1" customFormat="1">
      <c r="A63" s="34">
        <f>IF(OR(LEFT(B63,1)=" ",B63=""),"",MAX($A$9:A62)+1)</f>
        <v>51</v>
      </c>
      <c r="B63" s="69" t="s">
        <v>163</v>
      </c>
      <c r="C63" s="45"/>
      <c r="D63" s="46"/>
      <c r="E63" s="42"/>
      <c r="F63" s="108"/>
      <c r="G63" s="48"/>
      <c r="H63" s="38">
        <f>SUM($G$1:G63)</f>
        <v>230</v>
      </c>
      <c r="I63" s="30"/>
      <c r="J63" s="104" t="e">
        <f t="shared" si="12"/>
        <v>#REF!</v>
      </c>
      <c r="K63" s="104">
        <f t="shared" si="11"/>
        <v>63</v>
      </c>
    </row>
    <row r="64" spans="1:11">
      <c r="A64" s="34">
        <f>IF(OR(LEFT(B64,1)=" ",B64=""),"",MAX($A$9:A63)+1)</f>
        <v>52</v>
      </c>
      <c r="B64" s="120" t="s">
        <v>166</v>
      </c>
      <c r="C64" s="45"/>
      <c r="D64" s="46"/>
      <c r="E64" s="42"/>
      <c r="F64" s="108"/>
      <c r="G64" s="47"/>
      <c r="H64" s="38">
        <f>SUM($G$1:G64)</f>
        <v>230</v>
      </c>
      <c r="I64" s="30"/>
    </row>
    <row r="65" spans="1:11">
      <c r="A65" s="34">
        <f>IF(OR(LEFT(B65,1)=" ",B65=""),"",MAX($A$9:A64)+1)</f>
        <v>53</v>
      </c>
      <c r="B65" s="120" t="s">
        <v>178</v>
      </c>
      <c r="C65" s="45"/>
      <c r="D65" s="46"/>
      <c r="E65" s="42"/>
      <c r="F65" s="108"/>
      <c r="G65" s="47"/>
      <c r="H65" s="38">
        <f>SUM($G$1:G65)</f>
        <v>230</v>
      </c>
      <c r="I65" s="30"/>
    </row>
    <row r="66" spans="1:11" ht="42">
      <c r="A66" s="34">
        <f>IF(OR(LEFT(B66,1)=" ",B66=""),"",MAX($A$9:A65)+1)</f>
        <v>54</v>
      </c>
      <c r="B66" s="120" t="s">
        <v>177</v>
      </c>
      <c r="C66" s="45"/>
      <c r="D66" s="46"/>
      <c r="E66" s="42"/>
      <c r="F66" s="108"/>
      <c r="G66" s="47"/>
      <c r="H66" s="38">
        <f>SUM($G$1:G66)</f>
        <v>230</v>
      </c>
      <c r="I66" s="30"/>
    </row>
    <row r="67" spans="1:11" ht="28">
      <c r="A67" s="34">
        <f>IF(OR(LEFT(B67,1)=" ",B67=""),"",MAX($A$9:A66)+1)</f>
        <v>55</v>
      </c>
      <c r="B67" s="120" t="s">
        <v>172</v>
      </c>
      <c r="C67" s="45"/>
      <c r="D67" s="46"/>
      <c r="E67" s="42"/>
      <c r="F67" s="108"/>
      <c r="G67" s="47"/>
      <c r="H67" s="38">
        <f>SUM($G$1:G67)</f>
        <v>230</v>
      </c>
      <c r="I67" s="30"/>
    </row>
    <row r="68" spans="1:11">
      <c r="A68" s="34">
        <f>IF(OR(LEFT(B68,1)=" ",B68=""),"",MAX($A$9:A67)+1)</f>
        <v>56</v>
      </c>
      <c r="B68" s="120" t="s">
        <v>173</v>
      </c>
      <c r="C68" s="45"/>
      <c r="D68" s="46"/>
      <c r="E68" s="42"/>
      <c r="F68" s="108"/>
      <c r="G68" s="47"/>
      <c r="H68" s="38">
        <f>SUM($G$1:G68)</f>
        <v>230</v>
      </c>
      <c r="I68" s="30"/>
    </row>
    <row r="69" spans="1:11" s="1" customFormat="1">
      <c r="A69" s="34">
        <f>IF(OR(LEFT(B69,1)=" ",B69=""),"",MAX($A$9:A68)+1)</f>
        <v>57</v>
      </c>
      <c r="B69" s="69" t="s">
        <v>174</v>
      </c>
      <c r="C69" s="45"/>
      <c r="D69" s="46"/>
      <c r="E69" s="42"/>
      <c r="F69" s="108"/>
      <c r="G69" s="48"/>
      <c r="H69" s="38">
        <f>SUM($G$1:G69)</f>
        <v>230</v>
      </c>
      <c r="I69" s="30"/>
      <c r="J69" s="104">
        <f t="shared" ref="J69" si="13">IF(F69="",1,0)+J65</f>
        <v>1</v>
      </c>
      <c r="K69" s="104">
        <f t="shared" ref="K69:K71" si="14">IF(A69="","",ROW(A69))</f>
        <v>69</v>
      </c>
    </row>
    <row r="70" spans="1:11" s="1" customFormat="1">
      <c r="A70" s="34">
        <f>IF(OR(LEFT(B70,1)=" ",B70=""),"",MAX($A$9:A69)+1)</f>
        <v>58</v>
      </c>
      <c r="B70" s="69" t="s">
        <v>176</v>
      </c>
      <c r="C70" s="45"/>
      <c r="D70" s="46"/>
      <c r="E70" s="42"/>
      <c r="F70" s="108"/>
      <c r="G70" s="48"/>
      <c r="H70" s="38">
        <f>SUM($G$1:G70)</f>
        <v>230</v>
      </c>
      <c r="I70" s="30"/>
      <c r="J70" s="104">
        <f t="shared" ref="J70:J71" si="15">IF(F70="",1,0)+J69</f>
        <v>2</v>
      </c>
      <c r="K70" s="104">
        <f t="shared" si="14"/>
        <v>70</v>
      </c>
    </row>
    <row r="71" spans="1:11" s="1" customFormat="1">
      <c r="A71" s="34">
        <f>IF(OR(LEFT(B71,1)=" ",B71=""),"",MAX($A$9:A70)+1)</f>
        <v>59</v>
      </c>
      <c r="B71" s="69" t="s">
        <v>180</v>
      </c>
      <c r="C71" s="45"/>
      <c r="D71" s="46"/>
      <c r="E71" s="42"/>
      <c r="F71" s="108"/>
      <c r="G71" s="48"/>
      <c r="H71" s="38">
        <f>SUM($G$1:G71)</f>
        <v>230</v>
      </c>
      <c r="I71" s="30"/>
      <c r="J71" s="104">
        <f t="shared" si="15"/>
        <v>3</v>
      </c>
      <c r="K71" s="104">
        <f t="shared" si="14"/>
        <v>71</v>
      </c>
    </row>
    <row r="72" spans="1:11" ht="14.5" thickBot="1">
      <c r="A72" s="34">
        <f>IF(OR(LEFT(B72,1)=" ",B72=""),"",MAX($A$9:A71)+1)</f>
        <v>60</v>
      </c>
      <c r="B72" s="122" t="s">
        <v>181</v>
      </c>
      <c r="C72" s="49"/>
      <c r="D72" s="50"/>
      <c r="E72" s="71"/>
      <c r="F72" s="111"/>
      <c r="G72" s="51"/>
      <c r="H72" s="38">
        <f>SUM($G$1:G72)</f>
        <v>230</v>
      </c>
      <c r="I72" s="30"/>
    </row>
    <row r="73" spans="1:11" ht="15" thickTop="1" thickBot="1">
      <c r="A73" s="34">
        <f>IF(OR(LEFT(B73,1)=" ",B73=""),"",MAX($A$9:A72)+1)</f>
        <v>61</v>
      </c>
      <c r="B73" s="122" t="s">
        <v>181</v>
      </c>
      <c r="C73" s="49"/>
      <c r="D73" s="50"/>
      <c r="E73" s="71"/>
      <c r="F73" s="111"/>
      <c r="G73" s="51"/>
      <c r="H73" s="38">
        <f>SUM($G$1:G73)</f>
        <v>230</v>
      </c>
      <c r="I73" s="30"/>
    </row>
    <row r="74" spans="1:11" s="55" customFormat="1" ht="16.5" customHeight="1" thickTop="1" thickBot="1">
      <c r="A74" s="52"/>
      <c r="B74" s="144" t="s">
        <v>51</v>
      </c>
      <c r="C74" s="145"/>
      <c r="D74" s="145"/>
      <c r="E74" s="145"/>
      <c r="F74" s="112">
        <v>3</v>
      </c>
      <c r="G74" s="53">
        <f>DSUM(D1:H73,4,G79:G80)</f>
        <v>160</v>
      </c>
      <c r="H74" s="54"/>
      <c r="J74" s="106"/>
      <c r="K74" s="106"/>
    </row>
    <row r="75" spans="1:11" s="55" customFormat="1" ht="15" customHeight="1" thickTop="1" thickBot="1">
      <c r="A75" s="19"/>
      <c r="B75" s="144" t="s">
        <v>52</v>
      </c>
      <c r="C75" s="145"/>
      <c r="D75" s="145"/>
      <c r="E75" s="145"/>
      <c r="F75" s="113">
        <v>5.9</v>
      </c>
      <c r="G75" s="53">
        <f>DSUM(D1:H73,4,E79:E80)</f>
        <v>230</v>
      </c>
      <c r="H75" s="56"/>
      <c r="J75" s="106"/>
      <c r="K75" s="106"/>
    </row>
    <row r="76" spans="1:11" s="55" customFormat="1" ht="16.5" thickTop="1" thickBot="1">
      <c r="A76" s="19"/>
      <c r="B76" s="146" t="s">
        <v>95</v>
      </c>
      <c r="C76" s="147"/>
      <c r="D76" s="147"/>
      <c r="E76" s="147"/>
      <c r="F76" s="114">
        <v>6</v>
      </c>
      <c r="G76" s="57">
        <f>DSUM(D1:H73,4,H79:H80)-DSUM(D1:H73,4,F79:F80)</f>
        <v>70</v>
      </c>
      <c r="H76" s="58"/>
      <c r="J76" s="106"/>
      <c r="K76" s="106"/>
    </row>
    <row r="77" spans="1:11" ht="14.5" thickTop="1">
      <c r="B77" s="123"/>
      <c r="C77" s="60"/>
      <c r="D77" s="60"/>
      <c r="E77" s="72"/>
    </row>
    <row r="78" spans="1:11" ht="25">
      <c r="D78" s="62"/>
      <c r="G78" s="63" t="s">
        <v>50</v>
      </c>
      <c r="H78" s="63" t="s">
        <v>49</v>
      </c>
    </row>
    <row r="79" spans="1:11">
      <c r="D79" s="62"/>
      <c r="E79" s="132" t="s">
        <v>0</v>
      </c>
      <c r="F79" s="115" t="s">
        <v>0</v>
      </c>
      <c r="G79" s="64" t="s">
        <v>0</v>
      </c>
      <c r="H79" s="64" t="s">
        <v>0</v>
      </c>
    </row>
    <row r="80" spans="1:11">
      <c r="D80" s="62"/>
      <c r="E80" s="133" t="str">
        <f>CONCATENATE("&lt;",TEXT(F75+0.1,"0.0"))</f>
        <v>&lt;6.0</v>
      </c>
      <c r="F80" s="104" t="str">
        <f>CONCATENATE("&lt;",TEXT(F74+0.1,"0.0"))</f>
        <v>&lt;3.1</v>
      </c>
      <c r="G80" s="62" t="str">
        <f>CONCATENATE("&lt;",TEXT(F74+0.1,"0.0"))</f>
        <v>&lt;3.1</v>
      </c>
      <c r="H80" s="64" t="str">
        <f>CONCATENATE("&lt;",TEXT(IF(E76&lt;6,6,F76)+0.1,"0.0"))</f>
        <v>&lt;6.1</v>
      </c>
    </row>
    <row r="81" spans="4:8">
      <c r="D81" s="62"/>
      <c r="G81" s="64"/>
      <c r="H81" s="64"/>
    </row>
  </sheetData>
  <sortState ref="A41:L48">
    <sortCondition ref="E41:E48"/>
  </sortState>
  <mergeCells count="8">
    <mergeCell ref="B74:E74"/>
    <mergeCell ref="B75:E75"/>
    <mergeCell ref="B76:E76"/>
    <mergeCell ref="H1:H9"/>
    <mergeCell ref="D1:D9"/>
    <mergeCell ref="F1:F9"/>
    <mergeCell ref="G1:G9"/>
    <mergeCell ref="E1:E9"/>
  </mergeCells>
  <phoneticPr fontId="15" type="noConversion"/>
  <conditionalFormatting sqref="J10:J72">
    <cfRule type="cellIs" dxfId="1" priority="1" operator="lessThan">
      <formula>1</formula>
    </cfRule>
  </conditionalFormatting>
  <pageMargins left="0.35433070866141736" right="0.35433070866141736" top="0.19685039370078741" bottom="0.19685039370078741" header="0" footer="0"/>
  <pageSetup paperSize="9" scale="94" fitToHeight="0" orientation="portrait" horizontalDpi="300" verticalDpi="300" r:id="rId1"/>
  <headerFooter alignWithMargins="0">
    <oddFooter>&amp;CPage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IV43"/>
  <sheetViews>
    <sheetView showGridLines="0" tabSelected="1" topLeftCell="A13" workbookViewId="0">
      <selection activeCell="F16" sqref="F16"/>
    </sheetView>
  </sheetViews>
  <sheetFormatPr defaultColWidth="8.4609375" defaultRowHeight="15.5"/>
  <cols>
    <col min="1" max="1" width="31.69140625" style="74" customWidth="1"/>
    <col min="2" max="2" width="9.23046875" style="75" customWidth="1"/>
    <col min="3" max="3" width="2.23046875" style="74" customWidth="1"/>
    <col min="4" max="4" width="25.23046875" style="74" customWidth="1"/>
    <col min="5" max="5" width="9.23046875" style="75" customWidth="1"/>
    <col min="6" max="6" width="16.23046875" style="15" customWidth="1"/>
    <col min="7" max="16" width="11.4609375" style="15" customWidth="1"/>
    <col min="17" max="16384" width="8.4609375" style="77"/>
  </cols>
  <sheetData>
    <row r="1" spans="1:256" ht="77.5" customHeight="1">
      <c r="A1" s="76" t="s">
        <v>4</v>
      </c>
      <c r="B1" s="164"/>
      <c r="C1" s="165"/>
      <c r="D1" s="165"/>
      <c r="E1" s="165"/>
    </row>
    <row r="2" spans="1:256">
      <c r="A2" s="78" t="s">
        <v>33</v>
      </c>
      <c r="B2" s="79">
        <f>'ALL JOBS'!F74</f>
        <v>3</v>
      </c>
      <c r="D2" s="80"/>
      <c r="E2" s="81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</row>
    <row r="3" spans="1:256"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</row>
    <row r="4" spans="1:256" s="4" customFormat="1">
      <c r="A4" s="82" t="s">
        <v>12</v>
      </c>
      <c r="B4" s="83"/>
      <c r="C4" s="84"/>
      <c r="D4" s="82" t="s">
        <v>13</v>
      </c>
      <c r="E4" s="83"/>
    </row>
    <row r="5" spans="1:256"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</row>
    <row r="6" spans="1:256">
      <c r="A6" s="74" t="s">
        <v>14</v>
      </c>
      <c r="B6" s="75">
        <f>B23</f>
        <v>4594.96</v>
      </c>
      <c r="D6" s="74" t="s">
        <v>15</v>
      </c>
      <c r="E6" s="75">
        <f>E22*(E26+E27)</f>
        <v>3600</v>
      </c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</row>
    <row r="7" spans="1:256">
      <c r="A7" s="74" t="s">
        <v>16</v>
      </c>
      <c r="B7" s="75">
        <f>+'ALL JOBS'!G74</f>
        <v>160</v>
      </c>
      <c r="D7" s="74" t="s">
        <v>17</v>
      </c>
      <c r="E7" s="75">
        <f>E17*E28</f>
        <v>1500</v>
      </c>
      <c r="G7" s="74"/>
      <c r="H7" s="74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</row>
    <row r="8" spans="1:256">
      <c r="A8" s="74" t="s">
        <v>18</v>
      </c>
      <c r="B8" s="75">
        <v>0</v>
      </c>
      <c r="D8" s="74" t="s">
        <v>119</v>
      </c>
      <c r="E8" s="75">
        <f>(B29-E30)*E29</f>
        <v>400</v>
      </c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</row>
    <row r="9" spans="1:256">
      <c r="A9" s="74" t="s">
        <v>39</v>
      </c>
      <c r="B9" s="75">
        <v>400</v>
      </c>
      <c r="D9" s="74" t="s">
        <v>118</v>
      </c>
      <c r="E9" s="85">
        <f>E19</f>
        <v>15</v>
      </c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</row>
    <row r="10" spans="1:256">
      <c r="A10" s="134" t="s">
        <v>150</v>
      </c>
      <c r="B10" s="75">
        <v>630</v>
      </c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</row>
    <row r="11" spans="1:256">
      <c r="A11" s="87" t="s">
        <v>29</v>
      </c>
      <c r="B11" s="88">
        <f>SUM(B6:B10)</f>
        <v>5784.96</v>
      </c>
      <c r="D11" s="87" t="s">
        <v>19</v>
      </c>
      <c r="E11" s="88">
        <f>SUM(E6:E10)</f>
        <v>5515</v>
      </c>
      <c r="F11" s="86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</row>
    <row r="12" spans="1:256">
      <c r="F12" s="13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</row>
    <row r="13" spans="1:256">
      <c r="A13" s="74" t="s">
        <v>138</v>
      </c>
      <c r="B13" s="75">
        <f>E14-B11</f>
        <v>1732.7699999999995</v>
      </c>
      <c r="D13" s="74" t="s">
        <v>117</v>
      </c>
      <c r="E13" s="75">
        <v>2002.73</v>
      </c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</row>
    <row r="14" spans="1:256">
      <c r="A14" s="89" t="s">
        <v>20</v>
      </c>
      <c r="B14" s="88">
        <f>B11+B13</f>
        <v>7517.73</v>
      </c>
      <c r="D14" s="87" t="s">
        <v>21</v>
      </c>
      <c r="E14" s="88">
        <f>E11+E13</f>
        <v>7517.73</v>
      </c>
      <c r="F14" s="7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</row>
    <row r="15" spans="1:256">
      <c r="C15" s="91" t="s">
        <v>102</v>
      </c>
      <c r="D15" s="127">
        <f>-E13+B13</f>
        <v>-269.96000000000049</v>
      </c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</row>
    <row r="16" spans="1:256"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</row>
    <row r="17" spans="1:256">
      <c r="A17" s="130" t="s">
        <v>146</v>
      </c>
      <c r="B17" s="75">
        <f>224+224+280</f>
        <v>728</v>
      </c>
      <c r="D17" s="74" t="s">
        <v>100</v>
      </c>
      <c r="E17" s="75">
        <v>25</v>
      </c>
      <c r="F17" s="90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</row>
    <row r="18" spans="1:256">
      <c r="A18" s="130" t="s">
        <v>145</v>
      </c>
      <c r="B18" s="75">
        <f>ROUND(LEFT(RIGHT(A18,12),3)*1.05,0)</f>
        <v>1023</v>
      </c>
      <c r="C18" s="130"/>
      <c r="D18" s="130"/>
      <c r="F18" s="90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</row>
    <row r="19" spans="1:256">
      <c r="A19" s="74" t="s">
        <v>28</v>
      </c>
      <c r="B19" s="75">
        <v>700</v>
      </c>
      <c r="D19" s="74" t="s">
        <v>30</v>
      </c>
      <c r="E19" s="85">
        <f>(B26-E32)*E31</f>
        <v>15</v>
      </c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</row>
    <row r="20" spans="1:256">
      <c r="A20" s="74" t="s">
        <v>22</v>
      </c>
      <c r="B20" s="75">
        <f>ROUND(397.28*1.1,0)</f>
        <v>437</v>
      </c>
      <c r="D20" s="74" t="s">
        <v>31</v>
      </c>
      <c r="E20" s="75">
        <v>200</v>
      </c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</row>
    <row r="21" spans="1:256">
      <c r="A21" s="74" t="s">
        <v>126</v>
      </c>
      <c r="B21" s="75">
        <f>ROUND(50*1.1,1)</f>
        <v>55</v>
      </c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</row>
    <row r="22" spans="1:256">
      <c r="A22" s="135" t="s">
        <v>183</v>
      </c>
      <c r="B22" s="75">
        <v>1651.96</v>
      </c>
      <c r="D22" s="74" t="s">
        <v>144</v>
      </c>
      <c r="E22" s="75">
        <v>400</v>
      </c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</row>
    <row r="23" spans="1:256">
      <c r="B23" s="88">
        <f>SUM(B17:B22)</f>
        <v>4594.96</v>
      </c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</row>
    <row r="24" spans="1:256">
      <c r="D24" s="77"/>
      <c r="E24" s="77"/>
      <c r="F24" s="91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</row>
    <row r="25" spans="1:256">
      <c r="A25" s="84" t="s">
        <v>99</v>
      </c>
      <c r="D25" s="84" t="s">
        <v>57</v>
      </c>
      <c r="F25" s="91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</row>
    <row r="26" spans="1:256">
      <c r="A26" s="92" t="s">
        <v>127</v>
      </c>
      <c r="B26" s="75">
        <v>35</v>
      </c>
      <c r="D26" s="74" t="s">
        <v>83</v>
      </c>
      <c r="E26" s="93">
        <v>9</v>
      </c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</row>
    <row r="27" spans="1:256">
      <c r="A27" s="170" t="s">
        <v>59</v>
      </c>
      <c r="B27" s="171"/>
      <c r="D27" s="74" t="s">
        <v>82</v>
      </c>
      <c r="E27" s="93">
        <v>0</v>
      </c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</row>
    <row r="28" spans="1:256">
      <c r="D28" s="74" t="s">
        <v>113</v>
      </c>
      <c r="E28" s="94">
        <v>60</v>
      </c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</row>
    <row r="29" spans="1:256">
      <c r="A29" s="92" t="s">
        <v>96</v>
      </c>
      <c r="B29" s="75">
        <f>ROUND(1313/51,0)</f>
        <v>26</v>
      </c>
      <c r="D29" s="74" t="s">
        <v>114</v>
      </c>
      <c r="E29" s="94">
        <v>50</v>
      </c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</row>
    <row r="30" spans="1:256">
      <c r="A30" s="170" t="s">
        <v>60</v>
      </c>
      <c r="B30" s="171"/>
      <c r="D30" s="74" t="s">
        <v>116</v>
      </c>
      <c r="E30" s="75">
        <v>18</v>
      </c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</row>
    <row r="31" spans="1:256">
      <c r="D31" s="131" t="s">
        <v>148</v>
      </c>
      <c r="E31" s="94">
        <v>15</v>
      </c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</row>
    <row r="32" spans="1:256" ht="31" customHeight="1">
      <c r="A32" s="166" t="s">
        <v>98</v>
      </c>
      <c r="B32" s="173"/>
      <c r="D32" s="74" t="s">
        <v>115</v>
      </c>
      <c r="E32" s="75">
        <v>34</v>
      </c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</row>
    <row r="33" spans="1:256">
      <c r="D33" s="77" t="s">
        <v>149</v>
      </c>
      <c r="E33" s="77"/>
      <c r="F33" s="9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</row>
    <row r="34" spans="1:256" ht="30.65" customHeight="1">
      <c r="A34" s="174" t="s">
        <v>97</v>
      </c>
      <c r="B34" s="175"/>
      <c r="D34" s="168"/>
      <c r="E34" s="169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</row>
    <row r="35" spans="1:256">
      <c r="A35" s="124"/>
      <c r="B35" s="125"/>
      <c r="D35" s="169"/>
      <c r="E35" s="169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</row>
    <row r="36" spans="1:256">
      <c r="A36" s="126" t="s">
        <v>101</v>
      </c>
      <c r="B36" s="125"/>
      <c r="D36" s="169"/>
      <c r="E36" s="169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</row>
    <row r="37" spans="1:256" ht="29.5" customHeight="1">
      <c r="A37" s="172" t="s">
        <v>58</v>
      </c>
      <c r="B37" s="173"/>
      <c r="D37" s="169"/>
      <c r="E37" s="169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</row>
    <row r="38" spans="1:256">
      <c r="A38" s="172" t="s">
        <v>137</v>
      </c>
      <c r="B38" s="173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</row>
    <row r="39" spans="1:256">
      <c r="A39" s="172" t="s">
        <v>121</v>
      </c>
      <c r="B39" s="173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</row>
    <row r="40" spans="1:256">
      <c r="A40" s="172" t="s">
        <v>120</v>
      </c>
      <c r="B40" s="173"/>
    </row>
    <row r="41" spans="1:256">
      <c r="A41" s="172" t="s">
        <v>42</v>
      </c>
      <c r="B41" s="173"/>
    </row>
    <row r="42" spans="1:256">
      <c r="A42" s="172" t="s">
        <v>41</v>
      </c>
      <c r="B42" s="173"/>
    </row>
    <row r="43" spans="1:256" ht="32.5" customHeight="1">
      <c r="A43" s="166" t="s">
        <v>122</v>
      </c>
      <c r="B43" s="167"/>
    </row>
  </sheetData>
  <mergeCells count="13">
    <mergeCell ref="B1:E1"/>
    <mergeCell ref="A43:B43"/>
    <mergeCell ref="D34:E37"/>
    <mergeCell ref="A30:B30"/>
    <mergeCell ref="A27:B27"/>
    <mergeCell ref="A42:B42"/>
    <mergeCell ref="A41:B41"/>
    <mergeCell ref="A34:B34"/>
    <mergeCell ref="A37:B37"/>
    <mergeCell ref="A32:B32"/>
    <mergeCell ref="A40:B40"/>
    <mergeCell ref="A39:B39"/>
    <mergeCell ref="A38:B38"/>
  </mergeCells>
  <phoneticPr fontId="15" type="noConversion"/>
  <pageMargins left="0.19685039370078741" right="0.19685039370078741" top="0.19685039370078741" bottom="0.19685039370078741" header="0" footer="0"/>
  <pageSetup paperSize="9" scale="108" orientation="portrait" horizontalDpi="4294967294" verticalDpi="36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G14" sqref="G14"/>
    </sheetView>
  </sheetViews>
  <sheetFormatPr defaultColWidth="9.23046875" defaultRowHeight="15.5"/>
  <cols>
    <col min="1" max="1" width="23.4609375" style="65" bestFit="1" customWidth="1"/>
    <col min="2" max="2" width="13" style="65" customWidth="1"/>
    <col min="3" max="4" width="9.23046875" style="67"/>
    <col min="5" max="16384" width="9.23046875" style="65"/>
  </cols>
  <sheetData>
    <row r="1" spans="1:5">
      <c r="C1" s="176" t="s">
        <v>75</v>
      </c>
      <c r="D1" s="176"/>
      <c r="E1" s="68" t="s">
        <v>77</v>
      </c>
    </row>
    <row r="2" spans="1:5">
      <c r="A2" s="66" t="s">
        <v>70</v>
      </c>
      <c r="B2" s="66"/>
      <c r="C2" s="67" t="s">
        <v>71</v>
      </c>
      <c r="D2" s="67" t="s">
        <v>72</v>
      </c>
    </row>
    <row r="3" spans="1:5">
      <c r="A3" s="65" t="s">
        <v>80</v>
      </c>
      <c r="B3" s="65" t="s">
        <v>73</v>
      </c>
      <c r="C3" s="67">
        <v>28.19</v>
      </c>
      <c r="D3" s="67">
        <f>C3*1.2</f>
        <v>33.828000000000003</v>
      </c>
      <c r="E3" s="67">
        <f>D3</f>
        <v>33.828000000000003</v>
      </c>
    </row>
    <row r="4" spans="1:5">
      <c r="A4" s="65" t="s">
        <v>76</v>
      </c>
      <c r="B4" s="65" t="s">
        <v>74</v>
      </c>
      <c r="D4" s="67">
        <f>57.5</f>
        <v>57.5</v>
      </c>
      <c r="E4" s="67">
        <f>D4*2</f>
        <v>115</v>
      </c>
    </row>
    <row r="5" spans="1:5">
      <c r="E5" s="67">
        <f>SUM(E3:E4)</f>
        <v>148.828</v>
      </c>
    </row>
  </sheetData>
  <mergeCells count="1">
    <mergeCell ref="C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YOUR JOBS</vt:lpstr>
      <vt:lpstr>ALL JOBS</vt:lpstr>
      <vt:lpstr>Budget</vt:lpstr>
      <vt:lpstr>Sheet1</vt:lpstr>
      <vt:lpstr>JOBS</vt:lpstr>
      <vt:lpstr>'ALL JOBS'!Print_Area</vt:lpstr>
      <vt:lpstr>Budget!Print_Area</vt:lpstr>
      <vt:lpstr>'YOUR JOBS'!Print_Area</vt:lpstr>
      <vt:lpstr>'ALL JOBS'!Print_Titles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CSPG Design Networks</dc:creator>
  <cp:lastModifiedBy>Phil</cp:lastModifiedBy>
  <cp:lastPrinted>2025-02-06T10:57:37Z</cp:lastPrinted>
  <dcterms:created xsi:type="dcterms:W3CDTF">2003-01-28T20:30:10Z</dcterms:created>
  <dcterms:modified xsi:type="dcterms:W3CDTF">2026-01-22T12:04:44Z</dcterms:modified>
</cp:coreProperties>
</file>