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10" yWindow="-110" windowWidth="19420" windowHeight="11020" tabRatio="604"/>
  </bookViews>
  <sheets>
    <sheet name="Di's Summary" sheetId="21040" r:id="rId1"/>
    <sheet name="Summary" sheetId="1" r:id="rId2"/>
    <sheet name="TRIP_ACCOUNTS" sheetId="2" r:id="rId3"/>
    <sheet name="LATE BANKING" sheetId="3356" r:id="rId4"/>
    <sheet name="MAINTENANCE" sheetId="3" r:id="rId5"/>
    <sheet name="OTHER COSTS" sheetId="21039" r:id="rId6"/>
    <sheet name="PROVISIONS &amp; SUBS" sheetId="40" r:id="rId7"/>
  </sheets>
  <definedNames>
    <definedName name="_xlnm.Print_Area" localSheetId="0">'Di''s Summary'!$A$1:$E$16</definedName>
    <definedName name="_xlnm.Print_Area" localSheetId="3">'LATE BANKING'!$A$1:$Y$41</definedName>
    <definedName name="_xlnm.Print_Area" localSheetId="4">MAINTENANCE!$A$1:$BQ$56</definedName>
    <definedName name="_xlnm.Print_Area" localSheetId="5">'OTHER COSTS'!$A$4:$BR$82</definedName>
    <definedName name="_xlnm.Print_Area" localSheetId="6">'PROVISIONS &amp; SUBS'!$A$1:$J$96</definedName>
    <definedName name="_xlnm.Print_Area" localSheetId="1">Summary!$A$2:$T$94</definedName>
    <definedName name="_xlnm.Print_Area" localSheetId="2">TRIP_ACCOUNTS!$A$1:$T$144</definedName>
    <definedName name="_xlnm.Print_Titles" localSheetId="3">'LATE BANKING'!$1:$3</definedName>
    <definedName name="_xlnm.Print_Titles" localSheetId="4">MAINTENANCE!$1:$2</definedName>
    <definedName name="_xlnm.Print_Titles" localSheetId="5">'OTHER COSTS'!$A:$A,'OTHER COSTS'!$1:$3</definedName>
    <definedName name="_xlnm.Print_Titles" localSheetId="6">'PROVISIONS &amp; SUBS'!$1:$4</definedName>
    <definedName name="_xlnm.Print_Titles" localSheetId="1">Summary!$2:$2</definedName>
    <definedName name="_xlnm.Print_Titles" localSheetId="2">TRIP_ACCOUNTS!$1:$2</definedName>
    <definedName name="SUMMARY">Summary!$A$3:$T$92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3" i="1"/>
  <c r="H74" l="1"/>
  <c r="H73"/>
  <c r="H72"/>
  <c r="H71"/>
  <c r="H70"/>
  <c r="BS21" i="21039"/>
  <c r="L71" i="1" s="1"/>
  <c r="BS22" i="21039"/>
  <c r="L72" i="1" s="1"/>
  <c r="Y89" l="1"/>
  <c r="X89"/>
  <c r="Y88"/>
  <c r="X88"/>
  <c r="Y87"/>
  <c r="X87"/>
  <c r="Y86"/>
  <c r="X86"/>
  <c r="R88"/>
  <c r="R87"/>
  <c r="R89"/>
  <c r="R86"/>
  <c r="T87" l="1"/>
  <c r="B84" i="40"/>
  <c r="G84" s="1"/>
  <c r="B88"/>
  <c r="O15" i="1"/>
  <c r="Y90"/>
  <c r="X90"/>
  <c r="W90"/>
  <c r="W89"/>
  <c r="R90"/>
  <c r="W88" l="1"/>
  <c r="W87" l="1"/>
  <c r="T92" l="1"/>
  <c r="AB82"/>
  <c r="Y82"/>
  <c r="X82"/>
  <c r="W82"/>
  <c r="AB81"/>
  <c r="Y81"/>
  <c r="X81"/>
  <c r="W81"/>
  <c r="AB80"/>
  <c r="Y80"/>
  <c r="X80"/>
  <c r="W80"/>
  <c r="W86"/>
  <c r="X93"/>
  <c r="Y93"/>
  <c r="Z93"/>
  <c r="AA93"/>
  <c r="BS64" i="21039"/>
  <c r="BS63"/>
  <c r="BS65"/>
  <c r="BS66"/>
  <c r="BS62"/>
  <c r="BS61"/>
  <c r="BS18"/>
  <c r="BS19"/>
  <c r="BS16"/>
  <c r="BS14"/>
  <c r="BS13"/>
  <c r="BS11"/>
  <c r="BS10"/>
  <c r="BS8"/>
  <c r="BS7"/>
  <c r="BS9"/>
  <c r="BS6"/>
  <c r="S81" i="1"/>
  <c r="S82"/>
  <c r="S80"/>
  <c r="B29" i="2" l="1"/>
  <c r="R33"/>
  <c r="J36" i="1"/>
  <c r="S147" i="2"/>
  <c r="R147"/>
  <c r="Q147"/>
  <c r="P147"/>
  <c r="O147"/>
  <c r="N147"/>
  <c r="M147"/>
  <c r="L147"/>
  <c r="K147"/>
  <c r="J147"/>
  <c r="I147"/>
  <c r="H147"/>
  <c r="G147"/>
  <c r="F147"/>
  <c r="E147"/>
  <c r="D147"/>
  <c r="C147"/>
  <c r="B147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O48" i="1"/>
  <c r="AB79"/>
  <c r="AB77"/>
  <c r="AB76"/>
  <c r="AB75"/>
  <c r="AB74"/>
  <c r="AB73"/>
  <c r="AB72"/>
  <c r="AB68"/>
  <c r="AB67"/>
  <c r="AB66"/>
  <c r="AB65"/>
  <c r="AB64"/>
  <c r="AB63"/>
  <c r="V59"/>
  <c r="H88"/>
  <c r="H69"/>
  <c r="H68"/>
  <c r="H67"/>
  <c r="H66"/>
  <c r="H65"/>
  <c r="H64"/>
  <c r="H63"/>
  <c r="H62"/>
  <c r="H61"/>
  <c r="H81"/>
  <c r="H80"/>
  <c r="H79"/>
  <c r="Y61"/>
  <c r="X61"/>
  <c r="W61"/>
  <c r="S62"/>
  <c r="W63"/>
  <c r="X63"/>
  <c r="Y63"/>
  <c r="S61"/>
  <c r="W64"/>
  <c r="X64"/>
  <c r="Y64"/>
  <c r="W65"/>
  <c r="X65"/>
  <c r="Y65"/>
  <c r="W66"/>
  <c r="X66"/>
  <c r="Y66"/>
  <c r="W67"/>
  <c r="X67"/>
  <c r="Y67"/>
  <c r="W68"/>
  <c r="X68"/>
  <c r="Y68"/>
  <c r="N70"/>
  <c r="S70"/>
  <c r="T70"/>
  <c r="T69" s="1"/>
  <c r="W70"/>
  <c r="X70"/>
  <c r="Y70"/>
  <c r="N71"/>
  <c r="S68"/>
  <c r="W72"/>
  <c r="X72"/>
  <c r="Y72"/>
  <c r="W73"/>
  <c r="X73"/>
  <c r="Y73"/>
  <c r="W74"/>
  <c r="X74"/>
  <c r="Y74"/>
  <c r="W75"/>
  <c r="X75"/>
  <c r="Y75"/>
  <c r="W76"/>
  <c r="X76"/>
  <c r="Y76"/>
  <c r="W77"/>
  <c r="X77"/>
  <c r="Y77"/>
  <c r="N78"/>
  <c r="W79"/>
  <c r="X79"/>
  <c r="Y79"/>
  <c r="S77"/>
  <c r="W83"/>
  <c r="X83"/>
  <c r="Y83"/>
  <c r="D27"/>
  <c r="D45"/>
  <c r="F10" i="40"/>
  <c r="B33"/>
  <c r="B34" s="1"/>
  <c r="B35" s="1"/>
  <c r="B40" i="3356"/>
  <c r="B41"/>
  <c r="B42" s="1"/>
  <c r="I31"/>
  <c r="I39" s="1"/>
  <c r="I40" s="1"/>
  <c r="I41" s="1"/>
  <c r="I42" s="1"/>
  <c r="H31"/>
  <c r="H39" s="1"/>
  <c r="H40" s="1"/>
  <c r="H41" s="1"/>
  <c r="G31"/>
  <c r="G39"/>
  <c r="G40"/>
  <c r="G41" s="1"/>
  <c r="G42" s="1"/>
  <c r="F31"/>
  <c r="F39"/>
  <c r="F40" s="1"/>
  <c r="F41" s="1"/>
  <c r="F42" s="1"/>
  <c r="E31"/>
  <c r="E39" s="1"/>
  <c r="E40" s="1"/>
  <c r="E41" s="1"/>
  <c r="E42" s="1"/>
  <c r="C40"/>
  <c r="C41" s="1"/>
  <c r="C42" s="1"/>
  <c r="I38"/>
  <c r="H38"/>
  <c r="G38"/>
  <c r="F38"/>
  <c r="E38"/>
  <c r="D89" i="1"/>
  <c r="J38" s="1"/>
  <c r="J44" s="1"/>
  <c r="BT18" i="3"/>
  <c r="C66" i="1" s="1"/>
  <c r="E66" s="1"/>
  <c r="G66" s="1"/>
  <c r="I18" i="40"/>
  <c r="I19" s="1"/>
  <c r="I20" s="1"/>
  <c r="H18"/>
  <c r="H19" s="1"/>
  <c r="H20" s="1"/>
  <c r="F18"/>
  <c r="F19" s="1"/>
  <c r="F20" s="1"/>
  <c r="E18"/>
  <c r="E19" s="1"/>
  <c r="E20" s="1"/>
  <c r="C18"/>
  <c r="C20"/>
  <c r="B18"/>
  <c r="I10"/>
  <c r="H10"/>
  <c r="G10"/>
  <c r="E10"/>
  <c r="D10"/>
  <c r="C10"/>
  <c r="B10"/>
  <c r="B12"/>
  <c r="B13"/>
  <c r="A2" i="1"/>
  <c r="C4" i="3"/>
  <c r="B5" i="21039"/>
  <c r="A37" i="40"/>
  <c r="A25"/>
  <c r="A22"/>
  <c r="L8" i="1"/>
  <c r="B69" i="40"/>
  <c r="C69"/>
  <c r="D69"/>
  <c r="E69"/>
  <c r="F69"/>
  <c r="A48"/>
  <c r="A81"/>
  <c r="G88"/>
  <c r="D25"/>
  <c r="C25"/>
  <c r="B25"/>
  <c r="D37"/>
  <c r="C37"/>
  <c r="B37"/>
  <c r="A61"/>
  <c r="G78"/>
  <c r="G77"/>
  <c r="G76"/>
  <c r="G75"/>
  <c r="G74"/>
  <c r="A71"/>
  <c r="G68"/>
  <c r="I68" s="1"/>
  <c r="G67"/>
  <c r="I67" s="1"/>
  <c r="G66"/>
  <c r="I66" s="1"/>
  <c r="G65"/>
  <c r="I65" s="1"/>
  <c r="G64"/>
  <c r="I64" s="1"/>
  <c r="G58"/>
  <c r="G57"/>
  <c r="G56"/>
  <c r="G55"/>
  <c r="G54"/>
  <c r="G53"/>
  <c r="A50"/>
  <c r="BS17" i="21039"/>
  <c r="L67" i="1" s="1"/>
  <c r="L66"/>
  <c r="E121" i="2"/>
  <c r="D121"/>
  <c r="C121"/>
  <c r="B121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B11"/>
  <c r="C11" s="1"/>
  <c r="D11" s="1"/>
  <c r="E11" s="1"/>
  <c r="F11" s="1"/>
  <c r="G11" s="1"/>
  <c r="H11" s="1"/>
  <c r="I11" s="1"/>
  <c r="J11" s="1"/>
  <c r="K11" s="1"/>
  <c r="L11" s="1"/>
  <c r="M11" s="1"/>
  <c r="N11" s="1"/>
  <c r="O11" s="1"/>
  <c r="P11" s="1"/>
  <c r="Q11" s="1"/>
  <c r="R11" s="1"/>
  <c r="S11" s="1"/>
  <c r="BS52" i="21039"/>
  <c r="H82" i="1"/>
  <c r="BS12" i="21039"/>
  <c r="L62" i="1" s="1"/>
  <c r="L61"/>
  <c r="L81"/>
  <c r="L80"/>
  <c r="L79"/>
  <c r="L63"/>
  <c r="L82"/>
  <c r="L60"/>
  <c r="L59"/>
  <c r="L58"/>
  <c r="L57"/>
  <c r="L56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BT7" i="3"/>
  <c r="C55" i="1"/>
  <c r="E55" s="1"/>
  <c r="G55" s="1"/>
  <c r="G28" i="40"/>
  <c r="G64" i="1"/>
  <c r="J19"/>
  <c r="J24" s="1"/>
  <c r="L6"/>
  <c r="A46"/>
  <c r="H85"/>
  <c r="BQ47" i="21039"/>
  <c r="BQ48"/>
  <c r="BS49"/>
  <c r="L87" i="1" s="1"/>
  <c r="L89" s="1"/>
  <c r="BS50" i="21039"/>
  <c r="BS51"/>
  <c r="BS53"/>
  <c r="BS54"/>
  <c r="L88" i="1" s="1"/>
  <c r="BS55" i="21039"/>
  <c r="B56"/>
  <c r="B28" i="2" s="1"/>
  <c r="C56" i="21039"/>
  <c r="C28" i="2" s="1"/>
  <c r="D56" i="21039"/>
  <c r="D28" i="2" s="1"/>
  <c r="E56" i="21039"/>
  <c r="E28" i="2" s="1"/>
  <c r="F56" i="21039"/>
  <c r="F28" i="2" s="1"/>
  <c r="G56" i="21039"/>
  <c r="G28" i="2" s="1"/>
  <c r="H56" i="21039"/>
  <c r="H28" i="2" s="1"/>
  <c r="I56" i="21039"/>
  <c r="I28" i="2" s="1"/>
  <c r="J56" i="21039"/>
  <c r="J28" i="2" s="1"/>
  <c r="K56" i="21039"/>
  <c r="K28" i="2" s="1"/>
  <c r="L56" i="21039"/>
  <c r="L28" i="2" s="1"/>
  <c r="M56" i="21039"/>
  <c r="M28" i="2" s="1"/>
  <c r="N56" i="21039"/>
  <c r="N28" i="2" s="1"/>
  <c r="O56" i="21039"/>
  <c r="O28" i="2" s="1"/>
  <c r="P56" i="21039"/>
  <c r="P28" i="2" s="1"/>
  <c r="Q56" i="21039"/>
  <c r="Q28" i="2" s="1"/>
  <c r="R56" i="21039"/>
  <c r="R28" i="2"/>
  <c r="S56" i="21039"/>
  <c r="S28" i="2" s="1"/>
  <c r="T56" i="21039"/>
  <c r="B65" i="2"/>
  <c r="U56" i="21039"/>
  <c r="C65" i="2"/>
  <c r="V56" i="21039"/>
  <c r="D65" i="2"/>
  <c r="W56" i="21039"/>
  <c r="E65" i="2" s="1"/>
  <c r="X56" i="21039"/>
  <c r="F65" i="2"/>
  <c r="Y56" i="21039"/>
  <c r="Z56"/>
  <c r="H65" i="2" s="1"/>
  <c r="AA56" i="21039"/>
  <c r="I65" i="2" s="1"/>
  <c r="AB56" i="21039"/>
  <c r="J65" i="2" s="1"/>
  <c r="AC56" i="21039"/>
  <c r="K65" i="2" s="1"/>
  <c r="AD56" i="21039"/>
  <c r="L65" i="2" s="1"/>
  <c r="AE56" i="21039"/>
  <c r="M65" i="2" s="1"/>
  <c r="AF56" i="21039"/>
  <c r="N65" i="2" s="1"/>
  <c r="AG56" i="21039"/>
  <c r="O65" i="2" s="1"/>
  <c r="AH56" i="21039"/>
  <c r="P65" i="2" s="1"/>
  <c r="AI56" i="21039"/>
  <c r="Q65" i="2" s="1"/>
  <c r="AJ56" i="21039"/>
  <c r="R65" i="2" s="1"/>
  <c r="AK56" i="21039"/>
  <c r="S65" i="2" s="1"/>
  <c r="AL56" i="21039"/>
  <c r="AM56"/>
  <c r="AN56"/>
  <c r="AO56"/>
  <c r="E102" i="2" s="1"/>
  <c r="AP56" i="21039"/>
  <c r="AQ56"/>
  <c r="AR56"/>
  <c r="AS56"/>
  <c r="AT56"/>
  <c r="J102" i="2" s="1"/>
  <c r="AU56" i="21039"/>
  <c r="AV56"/>
  <c r="L102" i="2" s="1"/>
  <c r="AW56" i="21039"/>
  <c r="M102" i="2" s="1"/>
  <c r="AX56" i="21039"/>
  <c r="AY56"/>
  <c r="O102" i="2" s="1"/>
  <c r="AZ56" i="21039"/>
  <c r="BA56"/>
  <c r="BB56"/>
  <c r="BC56"/>
  <c r="BD56"/>
  <c r="BE56"/>
  <c r="BF56"/>
  <c r="BG56"/>
  <c r="BH56"/>
  <c r="BI56"/>
  <c r="BJ56"/>
  <c r="BK56"/>
  <c r="BL56"/>
  <c r="BM56"/>
  <c r="BN56"/>
  <c r="BO56"/>
  <c r="BP56"/>
  <c r="BQ56"/>
  <c r="N13" i="1"/>
  <c r="A47"/>
  <c r="A27"/>
  <c r="I41" i="40"/>
  <c r="G41"/>
  <c r="H87" i="1"/>
  <c r="S17" i="2"/>
  <c r="R17"/>
  <c r="Q17"/>
  <c r="P17"/>
  <c r="O17"/>
  <c r="D42" i="1"/>
  <c r="BS70" i="21039"/>
  <c r="BS67"/>
  <c r="BS73"/>
  <c r="BS72"/>
  <c r="BS71"/>
  <c r="BS69"/>
  <c r="BS68"/>
  <c r="A6" i="1"/>
  <c r="F90" i="40"/>
  <c r="E90"/>
  <c r="D90"/>
  <c r="C90"/>
  <c r="H45"/>
  <c r="J45" i="1" s="1"/>
  <c r="I45" s="1"/>
  <c r="F45" i="40"/>
  <c r="F46" s="1"/>
  <c r="E45"/>
  <c r="E46" s="1"/>
  <c r="D45"/>
  <c r="D46" s="1"/>
  <c r="C45"/>
  <c r="C46" s="1"/>
  <c r="B45"/>
  <c r="B46" s="1"/>
  <c r="I44"/>
  <c r="G44"/>
  <c r="I43"/>
  <c r="G43"/>
  <c r="I42"/>
  <c r="G42"/>
  <c r="I40"/>
  <c r="B91" i="2"/>
  <c r="D8" i="21040"/>
  <c r="U6" i="1"/>
  <c r="I63" i="40"/>
  <c r="H33"/>
  <c r="J27" i="1" s="1"/>
  <c r="F33" i="40"/>
  <c r="F34" s="1"/>
  <c r="F35" s="1"/>
  <c r="E33"/>
  <c r="E34" s="1"/>
  <c r="E35" s="1"/>
  <c r="D33"/>
  <c r="D34" s="1"/>
  <c r="D35" s="1"/>
  <c r="C33"/>
  <c r="C34" s="1"/>
  <c r="C35" s="1"/>
  <c r="I32"/>
  <c r="G32"/>
  <c r="I31"/>
  <c r="G31"/>
  <c r="I30"/>
  <c r="G30"/>
  <c r="I29"/>
  <c r="G29"/>
  <c r="I28"/>
  <c r="K43" i="1"/>
  <c r="BT27" i="3"/>
  <c r="C75" i="1"/>
  <c r="E75" s="1"/>
  <c r="BT26" i="3"/>
  <c r="C74" i="1" s="1"/>
  <c r="E74" s="1"/>
  <c r="G74" s="1"/>
  <c r="E90"/>
  <c r="G90"/>
  <c r="J12" i="40"/>
  <c r="N17" i="2"/>
  <c r="M17"/>
  <c r="L17"/>
  <c r="K17"/>
  <c r="J17"/>
  <c r="B43"/>
  <c r="B46" s="1"/>
  <c r="BS81" i="21039"/>
  <c r="BS80"/>
  <c r="BS79"/>
  <c r="BS78"/>
  <c r="BS77"/>
  <c r="BS76"/>
  <c r="BS75"/>
  <c r="BS74"/>
  <c r="BS25"/>
  <c r="BS24"/>
  <c r="L74" i="1" s="1"/>
  <c r="AO38" i="21039"/>
  <c r="U140" i="2"/>
  <c r="B43" i="1" s="1"/>
  <c r="I36" s="1"/>
  <c r="U127" i="2"/>
  <c r="B24" i="1" s="1"/>
  <c r="I20" s="1"/>
  <c r="BS37" i="21039"/>
  <c r="BS36"/>
  <c r="BS35"/>
  <c r="BS34"/>
  <c r="BS33"/>
  <c r="BS32"/>
  <c r="BS31"/>
  <c r="L64" i="1"/>
  <c r="BS30" i="21039"/>
  <c r="BS29"/>
  <c r="BS28"/>
  <c r="BS27"/>
  <c r="BS26"/>
  <c r="BS23"/>
  <c r="L73" i="1" s="1"/>
  <c r="BS20" i="21039"/>
  <c r="L70" i="1" s="1"/>
  <c r="L69"/>
  <c r="L68"/>
  <c r="BS15" i="21039"/>
  <c r="L65" i="1"/>
  <c r="AF38" i="21039"/>
  <c r="AF45"/>
  <c r="S111" i="2"/>
  <c r="S112"/>
  <c r="R111"/>
  <c r="R112"/>
  <c r="Q111"/>
  <c r="Q112"/>
  <c r="P111"/>
  <c r="P112"/>
  <c r="O111"/>
  <c r="N111"/>
  <c r="N112"/>
  <c r="M109"/>
  <c r="M111"/>
  <c r="M112"/>
  <c r="L109"/>
  <c r="L111"/>
  <c r="L112"/>
  <c r="K111"/>
  <c r="K112"/>
  <c r="J111"/>
  <c r="J112"/>
  <c r="I109"/>
  <c r="I111"/>
  <c r="I112"/>
  <c r="H111"/>
  <c r="H112"/>
  <c r="G109"/>
  <c r="G111"/>
  <c r="G112"/>
  <c r="F109"/>
  <c r="F111"/>
  <c r="F112"/>
  <c r="E109"/>
  <c r="E111"/>
  <c r="E112"/>
  <c r="T56" i="3"/>
  <c r="S38" i="21039"/>
  <c r="S45"/>
  <c r="S27" i="2" s="1"/>
  <c r="S82" i="21039"/>
  <c r="S22" i="2" s="1"/>
  <c r="S23" s="1"/>
  <c r="S56" i="3"/>
  <c r="R26" i="2" s="1"/>
  <c r="R38" i="21039"/>
  <c r="R82"/>
  <c r="R22" i="2" s="1"/>
  <c r="R23" s="1"/>
  <c r="R56" i="3"/>
  <c r="Q38" i="21039"/>
  <c r="Q45"/>
  <c r="Q82"/>
  <c r="Q22" i="2" s="1"/>
  <c r="Q23" s="1"/>
  <c r="Q56" i="3"/>
  <c r="P26" i="2" s="1"/>
  <c r="P38" i="21039"/>
  <c r="P27" i="2" s="1"/>
  <c r="P45" i="21039"/>
  <c r="P82"/>
  <c r="P22" i="2" s="1"/>
  <c r="P23" s="1"/>
  <c r="P56" i="3"/>
  <c r="O26" i="2"/>
  <c r="O38" i="21039"/>
  <c r="O27" i="2" s="1"/>
  <c r="O45" i="21039"/>
  <c r="O82"/>
  <c r="O22" i="2" s="1"/>
  <c r="O23" s="1"/>
  <c r="O56" i="3"/>
  <c r="O59"/>
  <c r="O66" s="1"/>
  <c r="N38" i="21039"/>
  <c r="N45"/>
  <c r="N82"/>
  <c r="N22" i="2" s="1"/>
  <c r="N23" s="1"/>
  <c r="N56" i="3"/>
  <c r="N59"/>
  <c r="M38" i="21039"/>
  <c r="M45"/>
  <c r="M27" i="2" s="1"/>
  <c r="M82" i="21039"/>
  <c r="M22" i="2" s="1"/>
  <c r="M23" s="1"/>
  <c r="M56" i="3"/>
  <c r="L26" i="2" s="1"/>
  <c r="L38" i="21039"/>
  <c r="L45"/>
  <c r="L27" i="2"/>
  <c r="L82" i="21039"/>
  <c r="L56" i="3"/>
  <c r="L59" s="1"/>
  <c r="L66" s="1"/>
  <c r="K38" i="21039"/>
  <c r="K27" i="2" s="1"/>
  <c r="K45" i="21039"/>
  <c r="K82"/>
  <c r="K22" i="2" s="1"/>
  <c r="K23" s="1"/>
  <c r="K56" i="3"/>
  <c r="K59" s="1"/>
  <c r="K66" s="1"/>
  <c r="J38" i="21039"/>
  <c r="J27" i="2" s="1"/>
  <c r="J45" i="21039"/>
  <c r="J82"/>
  <c r="J22" i="2" s="1"/>
  <c r="J23" s="1"/>
  <c r="J56" i="3"/>
  <c r="J59" s="1"/>
  <c r="I38" i="21039"/>
  <c r="I45"/>
  <c r="I27" i="2"/>
  <c r="I82" i="21039"/>
  <c r="I22" i="2" s="1"/>
  <c r="I23" s="1"/>
  <c r="I56" i="3"/>
  <c r="H26" i="2" s="1"/>
  <c r="H38" i="21039"/>
  <c r="H45"/>
  <c r="H27" i="2"/>
  <c r="H82" i="21039"/>
  <c r="H22" i="2" s="1"/>
  <c r="H23" s="1"/>
  <c r="H56" i="3"/>
  <c r="G26" i="2" s="1"/>
  <c r="G38" i="21039"/>
  <c r="G27" i="2" s="1"/>
  <c r="G45" i="21039"/>
  <c r="G82"/>
  <c r="G22" i="2" s="1"/>
  <c r="G23" s="1"/>
  <c r="F38" i="21039"/>
  <c r="F27" i="2" s="1"/>
  <c r="F45" i="21039"/>
  <c r="F82"/>
  <c r="F22" i="2" s="1"/>
  <c r="F23" s="1"/>
  <c r="E38" i="21039"/>
  <c r="E45"/>
  <c r="E27" i="2" s="1"/>
  <c r="E82" i="21039"/>
  <c r="E22" i="2" s="1"/>
  <c r="E23" s="1"/>
  <c r="D38" i="21039"/>
  <c r="D45"/>
  <c r="D82"/>
  <c r="C38"/>
  <c r="C27" i="2" s="1"/>
  <c r="C45" i="21039"/>
  <c r="C82"/>
  <c r="C22" i="2" s="1"/>
  <c r="B38" i="21039"/>
  <c r="B27" i="2" s="1"/>
  <c r="B45" i="21039"/>
  <c r="B82"/>
  <c r="BP3" i="3"/>
  <c r="BO4" i="21039" s="1"/>
  <c r="U143" i="2"/>
  <c r="C56" i="3"/>
  <c r="B26" i="2" s="1"/>
  <c r="D56" i="3"/>
  <c r="C26" i="2" s="1"/>
  <c r="E56" i="3"/>
  <c r="D26" i="2"/>
  <c r="F56" i="3"/>
  <c r="G56"/>
  <c r="F26" i="2"/>
  <c r="U56" i="3"/>
  <c r="B63" i="2"/>
  <c r="V56" i="3"/>
  <c r="V59" s="1"/>
  <c r="W56"/>
  <c r="W59" s="1"/>
  <c r="W66" s="1"/>
  <c r="X56"/>
  <c r="X59"/>
  <c r="Y56"/>
  <c r="F63" i="2" s="1"/>
  <c r="Z56" i="3"/>
  <c r="G63" i="2"/>
  <c r="AA56" i="3"/>
  <c r="H63" i="2"/>
  <c r="AB56" i="3"/>
  <c r="I63" i="2"/>
  <c r="AC56" i="3"/>
  <c r="J63" i="2" s="1"/>
  <c r="AD56" i="3"/>
  <c r="K63" i="2"/>
  <c r="AE56" i="3"/>
  <c r="L63" i="2"/>
  <c r="AF56" i="3"/>
  <c r="M63" i="2"/>
  <c r="AG56" i="3"/>
  <c r="N63" i="2" s="1"/>
  <c r="AH56" i="3"/>
  <c r="AI56"/>
  <c r="P63" i="2" s="1"/>
  <c r="AJ56" i="3"/>
  <c r="Q63" i="2" s="1"/>
  <c r="AK56" i="3"/>
  <c r="R63" i="2" s="1"/>
  <c r="AL56" i="3"/>
  <c r="S63" i="2"/>
  <c r="AM56" i="3"/>
  <c r="AM59" s="1"/>
  <c r="AM66" s="1"/>
  <c r="AN56"/>
  <c r="C100" i="2" s="1"/>
  <c r="AO56" i="3"/>
  <c r="AO59" s="1"/>
  <c r="AP56"/>
  <c r="AQ56"/>
  <c r="AQ59" s="1"/>
  <c r="AQ66" s="1"/>
  <c r="AR56"/>
  <c r="AR59"/>
  <c r="AR66" s="1"/>
  <c r="AS56"/>
  <c r="H100" i="2"/>
  <c r="AT56" i="3"/>
  <c r="AT59" s="1"/>
  <c r="AT66" s="1"/>
  <c r="AU56"/>
  <c r="AU59"/>
  <c r="AU66" s="1"/>
  <c r="AV56"/>
  <c r="AV59"/>
  <c r="AV66"/>
  <c r="AW56"/>
  <c r="L100" i="2"/>
  <c r="AX56" i="3"/>
  <c r="M100" i="2"/>
  <c r="AY56" i="3"/>
  <c r="AY59" s="1"/>
  <c r="AZ56"/>
  <c r="AZ59" s="1"/>
  <c r="AZ66" s="1"/>
  <c r="BA56"/>
  <c r="P100" i="2"/>
  <c r="BB56" i="3"/>
  <c r="Q100" i="2" s="1"/>
  <c r="BC56" i="3"/>
  <c r="BC59"/>
  <c r="BD56"/>
  <c r="BD59" s="1"/>
  <c r="BD66" s="1"/>
  <c r="BE56"/>
  <c r="BE59" s="1"/>
  <c r="C137" i="2"/>
  <c r="D137"/>
  <c r="E137"/>
  <c r="BT13" i="3"/>
  <c r="BT8"/>
  <c r="C56" i="1" s="1"/>
  <c r="E56" s="1"/>
  <c r="G56" s="1"/>
  <c r="BT40" i="3"/>
  <c r="C88" i="1" s="1"/>
  <c r="E88" s="1"/>
  <c r="G88" s="1"/>
  <c r="N145" i="2"/>
  <c r="BD38" i="21039"/>
  <c r="BD82"/>
  <c r="B133" i="2" s="1"/>
  <c r="B134" s="1"/>
  <c r="C149"/>
  <c r="C148"/>
  <c r="C138"/>
  <c r="C139"/>
  <c r="D149"/>
  <c r="D148"/>
  <c r="D138"/>
  <c r="D139"/>
  <c r="E149"/>
  <c r="E148"/>
  <c r="E138"/>
  <c r="E139"/>
  <c r="F145"/>
  <c r="M145"/>
  <c r="O145"/>
  <c r="P145"/>
  <c r="Q145"/>
  <c r="R145"/>
  <c r="S145"/>
  <c r="AN38" i="21039"/>
  <c r="D91" i="2"/>
  <c r="E91"/>
  <c r="AR38" i="21039"/>
  <c r="H91" i="2"/>
  <c r="AS38" i="21039"/>
  <c r="I91" i="2"/>
  <c r="AU38" i="21039"/>
  <c r="AU45"/>
  <c r="K91" i="2"/>
  <c r="AW38" i="21039"/>
  <c r="M91" i="2"/>
  <c r="AX38" i="21039"/>
  <c r="N91" i="2"/>
  <c r="AY38" i="21039"/>
  <c r="O91" i="2"/>
  <c r="AZ38" i="21039"/>
  <c r="P91" i="2"/>
  <c r="BA38" i="21039"/>
  <c r="Q91" i="2"/>
  <c r="BB38" i="21039"/>
  <c r="R91" i="2"/>
  <c r="T38" i="21039"/>
  <c r="T45"/>
  <c r="T82"/>
  <c r="B59" i="2" s="1"/>
  <c r="B60" s="1"/>
  <c r="U38" i="21039"/>
  <c r="U45"/>
  <c r="U82"/>
  <c r="V38"/>
  <c r="D64" i="2" s="1"/>
  <c r="V45" i="21039"/>
  <c r="V82"/>
  <c r="D59" i="2" s="1"/>
  <c r="D60" s="1"/>
  <c r="X38" i="21039"/>
  <c r="F64" i="2" s="1"/>
  <c r="F67" s="1"/>
  <c r="X45" i="21039"/>
  <c r="X82"/>
  <c r="F59" i="2" s="1"/>
  <c r="F60" s="1"/>
  <c r="F54"/>
  <c r="Y38" i="21039"/>
  <c r="Y45"/>
  <c r="Y82"/>
  <c r="G59" i="2" s="1"/>
  <c r="G60" s="1"/>
  <c r="G54"/>
  <c r="AA38" i="21039"/>
  <c r="AA45"/>
  <c r="I64" i="2"/>
  <c r="AA82" i="21039"/>
  <c r="I59" i="2" s="1"/>
  <c r="I60" s="1"/>
  <c r="I54"/>
  <c r="AD38" i="21039"/>
  <c r="AD45"/>
  <c r="AD82"/>
  <c r="L59" i="2" s="1"/>
  <c r="L60" s="1"/>
  <c r="L54"/>
  <c r="AE38" i="21039"/>
  <c r="AE45"/>
  <c r="M64" i="2" s="1"/>
  <c r="AE82" i="21039"/>
  <c r="M59" i="2" s="1"/>
  <c r="M60" s="1"/>
  <c r="M54"/>
  <c r="B79" i="40"/>
  <c r="B1" i="21040"/>
  <c r="B8" i="3356"/>
  <c r="B9" s="1"/>
  <c r="C8"/>
  <c r="C9" s="1"/>
  <c r="D8"/>
  <c r="D9" s="1"/>
  <c r="F8"/>
  <c r="F9"/>
  <c r="G8"/>
  <c r="G9" s="1"/>
  <c r="H8"/>
  <c r="J9" s="1"/>
  <c r="I8"/>
  <c r="I9" s="1"/>
  <c r="E9"/>
  <c r="K9"/>
  <c r="L9"/>
  <c r="M9"/>
  <c r="N9"/>
  <c r="O9"/>
  <c r="P9"/>
  <c r="Q9"/>
  <c r="R9"/>
  <c r="G16"/>
  <c r="G17" s="1"/>
  <c r="G18" s="1"/>
  <c r="G19" s="1"/>
  <c r="H16"/>
  <c r="H17" s="1"/>
  <c r="H18" s="1"/>
  <c r="I16"/>
  <c r="I17" s="1"/>
  <c r="I18" s="1"/>
  <c r="J16"/>
  <c r="J17" s="1"/>
  <c r="J18" s="1"/>
  <c r="K16"/>
  <c r="K17" s="1"/>
  <c r="K18" s="1"/>
  <c r="L16"/>
  <c r="L17" s="1"/>
  <c r="L18" s="1"/>
  <c r="M16"/>
  <c r="M17" s="1"/>
  <c r="M18" s="1"/>
  <c r="N16"/>
  <c r="N17" s="1"/>
  <c r="N18" s="1"/>
  <c r="O16"/>
  <c r="O17" s="1"/>
  <c r="O18" s="1"/>
  <c r="P16"/>
  <c r="P17" s="1"/>
  <c r="P18" s="1"/>
  <c r="Q16"/>
  <c r="Q17" s="1"/>
  <c r="Q18" s="1"/>
  <c r="R16"/>
  <c r="R17" s="1"/>
  <c r="R18" s="1"/>
  <c r="S16"/>
  <c r="S17" s="1"/>
  <c r="S18" s="1"/>
  <c r="G20"/>
  <c r="H20"/>
  <c r="I20"/>
  <c r="J20"/>
  <c r="K20"/>
  <c r="L20"/>
  <c r="M20"/>
  <c r="N20"/>
  <c r="O20"/>
  <c r="P20"/>
  <c r="Q20"/>
  <c r="R20"/>
  <c r="S20"/>
  <c r="J41"/>
  <c r="J42"/>
  <c r="K41"/>
  <c r="K42"/>
  <c r="L41"/>
  <c r="L42"/>
  <c r="M41"/>
  <c r="M42"/>
  <c r="N41"/>
  <c r="N42"/>
  <c r="O42"/>
  <c r="P42"/>
  <c r="Q42"/>
  <c r="R42"/>
  <c r="B49"/>
  <c r="C49"/>
  <c r="D49"/>
  <c r="E49"/>
  <c r="F49"/>
  <c r="G49"/>
  <c r="B51"/>
  <c r="C51"/>
  <c r="D51"/>
  <c r="E51"/>
  <c r="F51"/>
  <c r="G51"/>
  <c r="B56"/>
  <c r="C56"/>
  <c r="D56"/>
  <c r="E56"/>
  <c r="E71" s="1"/>
  <c r="E72" s="1"/>
  <c r="E73" s="1"/>
  <c r="F56"/>
  <c r="G56"/>
  <c r="B62"/>
  <c r="B70"/>
  <c r="B71" s="1"/>
  <c r="B72" s="1"/>
  <c r="B73" s="1"/>
  <c r="AA72" s="1"/>
  <c r="C62"/>
  <c r="C70" s="1"/>
  <c r="C71" s="1"/>
  <c r="C72" s="1"/>
  <c r="C73"/>
  <c r="D62"/>
  <c r="D70"/>
  <c r="E62"/>
  <c r="E70"/>
  <c r="F62"/>
  <c r="F70" s="1"/>
  <c r="F71" s="1"/>
  <c r="F72" s="1"/>
  <c r="F73" s="1"/>
  <c r="G62"/>
  <c r="G70"/>
  <c r="B69"/>
  <c r="C69"/>
  <c r="D69"/>
  <c r="E69"/>
  <c r="F69"/>
  <c r="G69"/>
  <c r="H73"/>
  <c r="I73"/>
  <c r="J73"/>
  <c r="K73"/>
  <c r="L73"/>
  <c r="M73"/>
  <c r="N73"/>
  <c r="O73"/>
  <c r="P73"/>
  <c r="Q73"/>
  <c r="R73"/>
  <c r="C3" i="3"/>
  <c r="B4" i="21039" s="1"/>
  <c r="B40" s="1"/>
  <c r="D3" i="3"/>
  <c r="C4" i="21039" s="1"/>
  <c r="E3" i="3"/>
  <c r="D4" i="21039" s="1"/>
  <c r="F3" i="3"/>
  <c r="E4" i="21039" s="1"/>
  <c r="G3" i="3"/>
  <c r="F4" i="21039" s="1"/>
  <c r="H3" i="3"/>
  <c r="G4" i="21039" s="1"/>
  <c r="G47" s="1"/>
  <c r="I3" i="3"/>
  <c r="H4" i="21039" s="1"/>
  <c r="H40" s="1"/>
  <c r="J3" i="3"/>
  <c r="I4" i="21039" s="1"/>
  <c r="K3" i="3"/>
  <c r="J4" i="21039" s="1"/>
  <c r="L3" i="3"/>
  <c r="K4" i="21039" s="1"/>
  <c r="M3" i="3"/>
  <c r="L4" i="21039" s="1"/>
  <c r="N3" i="3"/>
  <c r="M4" i="21039" s="1"/>
  <c r="O3" i="3"/>
  <c r="N4" i="21039" s="1"/>
  <c r="P3" i="3"/>
  <c r="O4" i="21039" s="1"/>
  <c r="O47" s="1"/>
  <c r="Q3" i="3"/>
  <c r="P4" i="21039" s="1"/>
  <c r="R3" i="3"/>
  <c r="Q4" i="21039" s="1"/>
  <c r="S3" i="3"/>
  <c r="R4" i="21039" s="1"/>
  <c r="T3" i="3"/>
  <c r="S4" i="21039" s="1"/>
  <c r="U3" i="3"/>
  <c r="T4" i="21039" s="1"/>
  <c r="V3" i="3"/>
  <c r="U4" i="21039" s="1"/>
  <c r="W3" i="3"/>
  <c r="V4" i="21039" s="1"/>
  <c r="X3" i="3"/>
  <c r="W4" i="21039" s="1"/>
  <c r="Y3" i="3"/>
  <c r="X4" i="21039" s="1"/>
  <c r="Z3" i="3"/>
  <c r="Y4" i="21039" s="1"/>
  <c r="AA3" i="3"/>
  <c r="Z4" i="21039" s="1"/>
  <c r="AB3" i="3"/>
  <c r="AA4" i="21039" s="1"/>
  <c r="AC3" i="3"/>
  <c r="AB4" i="21039" s="1"/>
  <c r="AD3" i="3"/>
  <c r="AC4" i="21039" s="1"/>
  <c r="AE3" i="3"/>
  <c r="AD4" i="21039" s="1"/>
  <c r="AF3" i="3"/>
  <c r="AE4" i="21039" s="1"/>
  <c r="AG3" i="3"/>
  <c r="AF4" i="21039" s="1"/>
  <c r="AF47" s="1"/>
  <c r="AH3" i="3"/>
  <c r="AG4" i="21039" s="1"/>
  <c r="AI3" i="3"/>
  <c r="AH4" i="21039" s="1"/>
  <c r="AJ3" i="3"/>
  <c r="AI4" i="21039" s="1"/>
  <c r="AK3" i="3"/>
  <c r="AJ4" i="21039" s="1"/>
  <c r="AL3" i="3"/>
  <c r="AK4" i="21039" s="1"/>
  <c r="AM3" i="3"/>
  <c r="AL4" i="21039" s="1"/>
  <c r="AN3" i="3"/>
  <c r="AM4" i="21039" s="1"/>
  <c r="AO3" i="3"/>
  <c r="AN4" i="21039" s="1"/>
  <c r="AP3" i="3"/>
  <c r="AO4" i="21039" s="1"/>
  <c r="AQ3" i="3"/>
  <c r="AP4" i="21039" s="1"/>
  <c r="AR3" i="3"/>
  <c r="AQ4" i="21039" s="1"/>
  <c r="AS3" i="3"/>
  <c r="AR4" i="21039" s="1"/>
  <c r="AT3" i="3"/>
  <c r="AS4" i="21039" s="1"/>
  <c r="AU3" i="3"/>
  <c r="AT4" i="21039" s="1"/>
  <c r="AV3" i="3"/>
  <c r="AU4" i="21039" s="1"/>
  <c r="AW3" i="3"/>
  <c r="AV4" i="21039" s="1"/>
  <c r="AV40" s="1"/>
  <c r="AX3" i="3"/>
  <c r="AW4" i="21039" s="1"/>
  <c r="AW47" s="1"/>
  <c r="AY3" i="3"/>
  <c r="AX4" i="21039" s="1"/>
  <c r="AX47" s="1"/>
  <c r="AZ3" i="3"/>
  <c r="AY4" i="21039" s="1"/>
  <c r="BA3" i="3"/>
  <c r="AZ4" i="21039" s="1"/>
  <c r="BB3" i="3"/>
  <c r="BA4" i="21039" s="1"/>
  <c r="BC3" i="3"/>
  <c r="BB4" i="21039" s="1"/>
  <c r="BB47" s="1"/>
  <c r="BD3" i="3"/>
  <c r="BC4" i="21039" s="1"/>
  <c r="BE3" i="3"/>
  <c r="BD4" i="21039" s="1"/>
  <c r="BF3" i="3"/>
  <c r="BE4" i="21039" s="1"/>
  <c r="BG3" i="3"/>
  <c r="BF4" i="21039" s="1"/>
  <c r="BH3" i="3"/>
  <c r="BG4" i="21039" s="1"/>
  <c r="BI3" i="3"/>
  <c r="BH4" i="21039" s="1"/>
  <c r="BJ3" i="3"/>
  <c r="BI4" i="21039" s="1"/>
  <c r="BK3" i="3"/>
  <c r="BJ4" i="21039" s="1"/>
  <c r="BM3" i="3"/>
  <c r="BL4" i="21039" s="1"/>
  <c r="BN3" i="3"/>
  <c r="BM4" i="21039" s="1"/>
  <c r="BO3" i="3"/>
  <c r="BN4" i="21039" s="1"/>
  <c r="D4" i="3"/>
  <c r="C5" i="21039" s="1"/>
  <c r="E4" i="3"/>
  <c r="D5" i="21039" s="1"/>
  <c r="F4" i="3"/>
  <c r="E5" i="21039" s="1"/>
  <c r="G4" i="3"/>
  <c r="F5" i="21039" s="1"/>
  <c r="H4" i="3"/>
  <c r="G5" i="21039" s="1"/>
  <c r="I4" i="3"/>
  <c r="H5" i="21039" s="1"/>
  <c r="J4" i="3"/>
  <c r="I5" i="21039" s="1"/>
  <c r="K4" i="3"/>
  <c r="J5" i="21039" s="1"/>
  <c r="J48" s="1"/>
  <c r="L4" i="3"/>
  <c r="K5" i="21039" s="1"/>
  <c r="K48" s="1"/>
  <c r="M4" i="3"/>
  <c r="L5" i="21039" s="1"/>
  <c r="N4" i="3"/>
  <c r="M5" i="21039" s="1"/>
  <c r="O4" i="3"/>
  <c r="P4"/>
  <c r="O5" i="21039" s="1"/>
  <c r="Q4" i="3"/>
  <c r="P5" i="21039" s="1"/>
  <c r="R4" i="3"/>
  <c r="Q5" i="21039" s="1"/>
  <c r="Q48" s="1"/>
  <c r="S4" i="3"/>
  <c r="R5" i="21039" s="1"/>
  <c r="R41" s="1"/>
  <c r="T4" i="3"/>
  <c r="S5" i="21039" s="1"/>
  <c r="BI4" i="3"/>
  <c r="BH5" i="21039" s="1"/>
  <c r="BJ4" i="3"/>
  <c r="BI5" i="21039" s="1"/>
  <c r="BK4" i="3"/>
  <c r="BJ5" i="21039" s="1"/>
  <c r="BL4" i="3"/>
  <c r="BK5" i="21039" s="1"/>
  <c r="BM4" i="3"/>
  <c r="BL5" i="21039" s="1"/>
  <c r="BN4" i="3"/>
  <c r="BM5" i="21039" s="1"/>
  <c r="BO4" i="3"/>
  <c r="BN5" i="21039" s="1"/>
  <c r="BP4" i="3"/>
  <c r="BQ5" i="21039" s="1"/>
  <c r="BT5" i="3"/>
  <c r="C53" i="1" s="1"/>
  <c r="E53" s="1"/>
  <c r="G53" s="1"/>
  <c r="BT6" i="3"/>
  <c r="C54" i="1"/>
  <c r="E54" s="1"/>
  <c r="G54" s="1"/>
  <c r="BT9" i="3"/>
  <c r="BT10"/>
  <c r="C58" i="1"/>
  <c r="E58" s="1"/>
  <c r="G58" s="1"/>
  <c r="BT11" i="3"/>
  <c r="C59" i="1" s="1"/>
  <c r="E59" s="1"/>
  <c r="BT12" i="3"/>
  <c r="C60" i="1" s="1"/>
  <c r="BT14" i="3"/>
  <c r="C62" i="1"/>
  <c r="E62" s="1"/>
  <c r="G62"/>
  <c r="BT15" i="3"/>
  <c r="C63" i="1" s="1"/>
  <c r="E63" s="1"/>
  <c r="G63" s="1"/>
  <c r="BT16" i="3"/>
  <c r="C64" i="1" s="1"/>
  <c r="E64" s="1"/>
  <c r="BT17" i="3"/>
  <c r="C65" i="1"/>
  <c r="E65" s="1"/>
  <c r="BT19" i="3"/>
  <c r="C67" i="1" s="1"/>
  <c r="E67" s="1"/>
  <c r="BT20" i="3"/>
  <c r="C68" i="1" s="1"/>
  <c r="E68" s="1"/>
  <c r="G68"/>
  <c r="BT21" i="3"/>
  <c r="C69" i="1"/>
  <c r="E69" s="1"/>
  <c r="G69"/>
  <c r="BT22" i="3"/>
  <c r="C70" i="1" s="1"/>
  <c r="E70" s="1"/>
  <c r="BT23" i="3"/>
  <c r="C71" i="1" s="1"/>
  <c r="E71" s="1"/>
  <c r="G71" s="1"/>
  <c r="BT24" i="3"/>
  <c r="C72" i="1"/>
  <c r="E72" s="1"/>
  <c r="T54" s="1"/>
  <c r="G72"/>
  <c r="BT25" i="3"/>
  <c r="BT28"/>
  <c r="BT29"/>
  <c r="C77" i="1" s="1"/>
  <c r="BT30" i="3"/>
  <c r="C78" i="1"/>
  <c r="E78" s="1"/>
  <c r="G78" s="1"/>
  <c r="BT31" i="3"/>
  <c r="C79" i="1"/>
  <c r="E79" s="1"/>
  <c r="G79" s="1"/>
  <c r="BT32" i="3"/>
  <c r="C80" i="1"/>
  <c r="E80" s="1"/>
  <c r="G80" s="1"/>
  <c r="BT33" i="3"/>
  <c r="C81" i="1"/>
  <c r="E81" s="1"/>
  <c r="G81"/>
  <c r="BT34" i="3"/>
  <c r="C82" i="1" s="1"/>
  <c r="E82" s="1"/>
  <c r="G82" s="1"/>
  <c r="BT35" i="3"/>
  <c r="C83" i="1" s="1"/>
  <c r="E83" s="1"/>
  <c r="G83" s="1"/>
  <c r="BT36" i="3"/>
  <c r="BT37"/>
  <c r="C85" i="1" s="1"/>
  <c r="E85" s="1"/>
  <c r="G85" s="1"/>
  <c r="BT38" i="3"/>
  <c r="C86" i="1" s="1"/>
  <c r="E86" s="1"/>
  <c r="G86" s="1"/>
  <c r="BT39" i="3"/>
  <c r="C87" i="1" s="1"/>
  <c r="E87" s="1"/>
  <c r="G87" s="1"/>
  <c r="BT41" i="3"/>
  <c r="BT42"/>
  <c r="BT43"/>
  <c r="BT44"/>
  <c r="G92" i="1"/>
  <c r="BT45" i="3"/>
  <c r="BT46"/>
  <c r="BT47"/>
  <c r="BT48"/>
  <c r="BT49"/>
  <c r="BT50"/>
  <c r="BT51"/>
  <c r="BT52"/>
  <c r="BT53"/>
  <c r="BT54"/>
  <c r="BT55"/>
  <c r="BF56"/>
  <c r="BF59"/>
  <c r="BF66"/>
  <c r="BG56"/>
  <c r="BH56"/>
  <c r="BH66" s="1"/>
  <c r="BH59"/>
  <c r="BI56"/>
  <c r="BI59" s="1"/>
  <c r="BJ56"/>
  <c r="BJ59" s="1"/>
  <c r="BK56"/>
  <c r="BL56"/>
  <c r="BL66" s="1"/>
  <c r="BL59"/>
  <c r="BM56"/>
  <c r="BM59"/>
  <c r="BM66"/>
  <c r="BN56"/>
  <c r="BO56"/>
  <c r="BO59" s="1"/>
  <c r="BO66" s="1"/>
  <c r="BP56"/>
  <c r="BP59"/>
  <c r="BP66"/>
  <c r="AI59"/>
  <c r="AI66" s="1"/>
  <c r="BP4" i="21039"/>
  <c r="BP47" s="1"/>
  <c r="BP5"/>
  <c r="BP41" s="1"/>
  <c r="W38"/>
  <c r="E64" i="2" s="1"/>
  <c r="W45" i="21039"/>
  <c r="Z38"/>
  <c r="Z45"/>
  <c r="AB38"/>
  <c r="AB45"/>
  <c r="AC38"/>
  <c r="K64" i="2" s="1"/>
  <c r="AC45" i="21039"/>
  <c r="AC82"/>
  <c r="K59" i="2" s="1"/>
  <c r="K60" s="1"/>
  <c r="AF82" i="21039"/>
  <c r="AG38"/>
  <c r="AG45"/>
  <c r="AG82"/>
  <c r="O59" i="2" s="1"/>
  <c r="O60" s="1"/>
  <c r="AH38" i="21039"/>
  <c r="AH45"/>
  <c r="AH82"/>
  <c r="P59" i="2" s="1"/>
  <c r="P60" s="1"/>
  <c r="AI38" i="21039"/>
  <c r="Q64" i="2" s="1"/>
  <c r="AI45" i="21039"/>
  <c r="AJ38"/>
  <c r="AJ45"/>
  <c r="AJ82"/>
  <c r="AK38"/>
  <c r="AK45"/>
  <c r="S64" i="2"/>
  <c r="AK82" i="21039"/>
  <c r="S59" i="2" s="1"/>
  <c r="S60" s="1"/>
  <c r="AL38" i="21039"/>
  <c r="AM38"/>
  <c r="AM45"/>
  <c r="AM82"/>
  <c r="C96" i="2" s="1"/>
  <c r="C97" s="1"/>
  <c r="AN82" i="21039"/>
  <c r="D96" i="2" s="1"/>
  <c r="D97" s="1"/>
  <c r="AO82" i="21039"/>
  <c r="E96" i="2" s="1"/>
  <c r="E97" s="1"/>
  <c r="AP38" i="21039"/>
  <c r="AQ38"/>
  <c r="AQ45"/>
  <c r="G101" i="2"/>
  <c r="AR82" i="21039"/>
  <c r="AS82"/>
  <c r="I96" i="2" s="1"/>
  <c r="I97" s="1"/>
  <c r="AT38" i="21039"/>
  <c r="AV38"/>
  <c r="AV85" s="1"/>
  <c r="BC38"/>
  <c r="BE38"/>
  <c r="BF38"/>
  <c r="BG38"/>
  <c r="BH38"/>
  <c r="BI38"/>
  <c r="BJ38"/>
  <c r="BK38"/>
  <c r="BL38"/>
  <c r="BM38"/>
  <c r="BN38"/>
  <c r="BO38"/>
  <c r="BP38"/>
  <c r="BQ38"/>
  <c r="AV82"/>
  <c r="AW82"/>
  <c r="M96" i="2" s="1"/>
  <c r="M97" s="1"/>
  <c r="AZ82" i="21039"/>
  <c r="P96" i="2" s="1"/>
  <c r="P97" s="1"/>
  <c r="BA82" i="21039"/>
  <c r="Q96" i="2" s="1"/>
  <c r="Q97" s="1"/>
  <c r="BE82" i="21039"/>
  <c r="BH82"/>
  <c r="BI82"/>
  <c r="BL82"/>
  <c r="BM82"/>
  <c r="BO82"/>
  <c r="BO45"/>
  <c r="BP45"/>
  <c r="BP82"/>
  <c r="BQ40"/>
  <c r="BQ41"/>
  <c r="BS42"/>
  <c r="BS43"/>
  <c r="BS44"/>
  <c r="R45"/>
  <c r="W82"/>
  <c r="E59" i="2" s="1"/>
  <c r="E60" s="1"/>
  <c r="AI82" i="21039"/>
  <c r="AL45"/>
  <c r="AN45"/>
  <c r="AO45"/>
  <c r="E101" i="2" s="1"/>
  <c r="AP45" i="21039"/>
  <c r="F101" i="2" s="1"/>
  <c r="AQ82" i="21039"/>
  <c r="AR45"/>
  <c r="AS45"/>
  <c r="AT45"/>
  <c r="AU82"/>
  <c r="K96" i="2" s="1"/>
  <c r="K97" s="1"/>
  <c r="AV45" i="21039"/>
  <c r="AW45"/>
  <c r="AX45"/>
  <c r="AX85" s="1"/>
  <c r="AY45"/>
  <c r="AY82"/>
  <c r="O96" i="2" s="1"/>
  <c r="O97" s="1"/>
  <c r="AZ45" i="21039"/>
  <c r="AZ85" s="1"/>
  <c r="BA45"/>
  <c r="BB45"/>
  <c r="BC45"/>
  <c r="BC82"/>
  <c r="S96" i="2" s="1"/>
  <c r="S97" s="1"/>
  <c r="BD45" i="21039"/>
  <c r="BE45"/>
  <c r="BF45"/>
  <c r="BG45"/>
  <c r="BG82"/>
  <c r="BH45"/>
  <c r="BI45"/>
  <c r="BJ45"/>
  <c r="BK45"/>
  <c r="BK82"/>
  <c r="BL45"/>
  <c r="BM45"/>
  <c r="BN45"/>
  <c r="BN82"/>
  <c r="BQ45"/>
  <c r="C102" i="2"/>
  <c r="D102"/>
  <c r="F102"/>
  <c r="G102"/>
  <c r="H102"/>
  <c r="I102"/>
  <c r="K102"/>
  <c r="N102"/>
  <c r="Q102"/>
  <c r="R102"/>
  <c r="S102"/>
  <c r="B139"/>
  <c r="Z82" i="21039"/>
  <c r="H59" i="2" s="1"/>
  <c r="H60" s="1"/>
  <c r="AB82" i="21039"/>
  <c r="J59" i="2" s="1"/>
  <c r="J60" s="1"/>
  <c r="AL82" i="21039"/>
  <c r="AP82"/>
  <c r="F96" i="2" s="1"/>
  <c r="F97" s="1"/>
  <c r="AT82" i="21039"/>
  <c r="J96" i="2" s="1"/>
  <c r="J97" s="1"/>
  <c r="AX82" i="21039"/>
  <c r="N96" i="2" s="1"/>
  <c r="N97" s="1"/>
  <c r="BB82" i="21039"/>
  <c r="R96" i="2" s="1"/>
  <c r="R97" s="1"/>
  <c r="BF82" i="21039"/>
  <c r="BJ82"/>
  <c r="BQ82"/>
  <c r="A5" i="40"/>
  <c r="K16"/>
  <c r="B25" i="1" s="1"/>
  <c r="K17" i="40"/>
  <c r="B28" i="1" s="1"/>
  <c r="G18" i="40"/>
  <c r="G19" s="1"/>
  <c r="G20" s="1"/>
  <c r="J20"/>
  <c r="C51"/>
  <c r="B59"/>
  <c r="C59"/>
  <c r="D59"/>
  <c r="E59"/>
  <c r="F59"/>
  <c r="C79"/>
  <c r="D79"/>
  <c r="E79"/>
  <c r="F79"/>
  <c r="A4" i="1"/>
  <c r="A5"/>
  <c r="A8"/>
  <c r="G6"/>
  <c r="I8"/>
  <c r="D23"/>
  <c r="D24"/>
  <c r="Q24"/>
  <c r="D25"/>
  <c r="I23"/>
  <c r="K23" s="1"/>
  <c r="D26"/>
  <c r="I26"/>
  <c r="K26" s="1"/>
  <c r="D28"/>
  <c r="K40"/>
  <c r="L40" s="1"/>
  <c r="D44"/>
  <c r="D46"/>
  <c r="L54"/>
  <c r="H56"/>
  <c r="H57"/>
  <c r="H58"/>
  <c r="H59"/>
  <c r="H60"/>
  <c r="W60"/>
  <c r="X60"/>
  <c r="Y60"/>
  <c r="B17" i="2"/>
  <c r="C17"/>
  <c r="D17"/>
  <c r="E17"/>
  <c r="F17"/>
  <c r="G17"/>
  <c r="H17"/>
  <c r="I17"/>
  <c r="T34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B37"/>
  <c r="C37"/>
  <c r="E37"/>
  <c r="E38"/>
  <c r="F37"/>
  <c r="G37"/>
  <c r="H37"/>
  <c r="H38"/>
  <c r="I37"/>
  <c r="J37"/>
  <c r="K37"/>
  <c r="L37"/>
  <c r="M37"/>
  <c r="N37"/>
  <c r="N38"/>
  <c r="O37"/>
  <c r="P37"/>
  <c r="Q37"/>
  <c r="Q38"/>
  <c r="R37"/>
  <c r="S37"/>
  <c r="B38"/>
  <c r="D38"/>
  <c r="F38"/>
  <c r="G38"/>
  <c r="I38"/>
  <c r="J38"/>
  <c r="K38"/>
  <c r="M38"/>
  <c r="O38"/>
  <c r="P38"/>
  <c r="R38"/>
  <c r="S38"/>
  <c r="B54"/>
  <c r="C54"/>
  <c r="D54"/>
  <c r="E54"/>
  <c r="H54"/>
  <c r="J54"/>
  <c r="K54"/>
  <c r="N54"/>
  <c r="O54"/>
  <c r="P54"/>
  <c r="Q54"/>
  <c r="S54"/>
  <c r="T71"/>
  <c r="U71"/>
  <c r="B72"/>
  <c r="C72"/>
  <c r="D72"/>
  <c r="E72"/>
  <c r="F72"/>
  <c r="G72"/>
  <c r="H72"/>
  <c r="I72"/>
  <c r="J72"/>
  <c r="K72"/>
  <c r="L72"/>
  <c r="M72"/>
  <c r="N72"/>
  <c r="O72"/>
  <c r="P72"/>
  <c r="Q72"/>
  <c r="R72"/>
  <c r="S72"/>
  <c r="B74"/>
  <c r="C74"/>
  <c r="C75"/>
  <c r="D74"/>
  <c r="E74"/>
  <c r="F74"/>
  <c r="G74"/>
  <c r="G75"/>
  <c r="H74"/>
  <c r="I74"/>
  <c r="J74"/>
  <c r="J75"/>
  <c r="K74"/>
  <c r="L74"/>
  <c r="M74"/>
  <c r="M75"/>
  <c r="N74"/>
  <c r="N75"/>
  <c r="O74"/>
  <c r="P74"/>
  <c r="Q74"/>
  <c r="Q75"/>
  <c r="R74"/>
  <c r="S74"/>
  <c r="S75"/>
  <c r="B75"/>
  <c r="D75"/>
  <c r="E75"/>
  <c r="F75"/>
  <c r="H75"/>
  <c r="I75"/>
  <c r="K75"/>
  <c r="L75"/>
  <c r="O75"/>
  <c r="P75"/>
  <c r="R75"/>
  <c r="R76" s="1"/>
  <c r="C91"/>
  <c r="F91"/>
  <c r="G91"/>
  <c r="J91"/>
  <c r="L91"/>
  <c r="S91"/>
  <c r="B97"/>
  <c r="T108"/>
  <c r="U108"/>
  <c r="B109"/>
  <c r="C109"/>
  <c r="D109"/>
  <c r="H109"/>
  <c r="J109"/>
  <c r="K109"/>
  <c r="N109"/>
  <c r="O109"/>
  <c r="P109"/>
  <c r="Q109"/>
  <c r="R109"/>
  <c r="S109"/>
  <c r="B111"/>
  <c r="C111"/>
  <c r="D111"/>
  <c r="B112"/>
  <c r="C112"/>
  <c r="D112"/>
  <c r="BL3" i="3"/>
  <c r="BK4" i="21039" s="1"/>
  <c r="N146" i="2"/>
  <c r="R149"/>
  <c r="U118"/>
  <c r="C15" i="1" s="1"/>
  <c r="I14" s="1"/>
  <c r="U119" i="2"/>
  <c r="C16" i="1" s="1"/>
  <c r="U125" i="2"/>
  <c r="B22" i="1" s="1"/>
  <c r="U126" i="2"/>
  <c r="B23" i="1" s="1"/>
  <c r="B128" i="2"/>
  <c r="C128"/>
  <c r="D128"/>
  <c r="E128"/>
  <c r="U130"/>
  <c r="B33" i="1" s="1"/>
  <c r="Q27" s="1"/>
  <c r="U131" i="2"/>
  <c r="B34" i="1" s="1"/>
  <c r="U132" i="2"/>
  <c r="B35" i="1" s="1"/>
  <c r="C134" i="2"/>
  <c r="D134"/>
  <c r="E134"/>
  <c r="U135"/>
  <c r="B38" i="1" s="1"/>
  <c r="B146" i="2"/>
  <c r="C146"/>
  <c r="D146"/>
  <c r="E146"/>
  <c r="E150"/>
  <c r="E136" s="1"/>
  <c r="E142" s="1"/>
  <c r="F146"/>
  <c r="H146"/>
  <c r="I146"/>
  <c r="I150" s="1"/>
  <c r="J146"/>
  <c r="J150" s="1"/>
  <c r="J148"/>
  <c r="J149"/>
  <c r="M146"/>
  <c r="M148"/>
  <c r="M150" s="1"/>
  <c r="M149"/>
  <c r="B148"/>
  <c r="F148"/>
  <c r="F150" s="1"/>
  <c r="H148"/>
  <c r="H150" s="1"/>
  <c r="I148"/>
  <c r="N148"/>
  <c r="B149"/>
  <c r="F149"/>
  <c r="H149"/>
  <c r="I149"/>
  <c r="S152"/>
  <c r="S153"/>
  <c r="Q146"/>
  <c r="R146"/>
  <c r="Q148"/>
  <c r="N149"/>
  <c r="Q149"/>
  <c r="O148"/>
  <c r="O149"/>
  <c r="O146"/>
  <c r="O150" s="1"/>
  <c r="S149"/>
  <c r="S148"/>
  <c r="S150" s="1"/>
  <c r="S146"/>
  <c r="R148"/>
  <c r="L38"/>
  <c r="R54"/>
  <c r="H12" i="40"/>
  <c r="H13" s="1"/>
  <c r="G12"/>
  <c r="G13" s="1"/>
  <c r="D12"/>
  <c r="D13" s="1"/>
  <c r="I12"/>
  <c r="I13" s="1"/>
  <c r="E12"/>
  <c r="E13" s="1"/>
  <c r="G96" i="2"/>
  <c r="G97" s="1"/>
  <c r="N59"/>
  <c r="N60" s="1"/>
  <c r="L22"/>
  <c r="L23" s="1"/>
  <c r="L96"/>
  <c r="L97" s="1"/>
  <c r="H96"/>
  <c r="H97" s="1"/>
  <c r="R59"/>
  <c r="R60" s="1"/>
  <c r="C59"/>
  <c r="C60" s="1"/>
  <c r="C84" i="1"/>
  <c r="E84" s="1"/>
  <c r="G84" s="1"/>
  <c r="G57"/>
  <c r="AJ59" i="3"/>
  <c r="AJ66"/>
  <c r="AB59"/>
  <c r="AB66"/>
  <c r="E63" i="2"/>
  <c r="G59" i="3"/>
  <c r="G66" s="1"/>
  <c r="E59"/>
  <c r="C59"/>
  <c r="C66" s="1"/>
  <c r="I59"/>
  <c r="J26" i="2"/>
  <c r="C61" i="1"/>
  <c r="E61" s="1"/>
  <c r="G61"/>
  <c r="AE59" i="3"/>
  <c r="AE66"/>
  <c r="AA59"/>
  <c r="AA66" s="1"/>
  <c r="Y59"/>
  <c r="Y66" s="1"/>
  <c r="D63" i="2"/>
  <c r="I26"/>
  <c r="E77" i="1"/>
  <c r="G77" s="1"/>
  <c r="C76"/>
  <c r="E76" s="1"/>
  <c r="G76"/>
  <c r="C73"/>
  <c r="E73" s="1"/>
  <c r="G73" s="1"/>
  <c r="D20" i="40"/>
  <c r="F12"/>
  <c r="F13" s="1"/>
  <c r="B20"/>
  <c r="BP48" i="21039"/>
  <c r="O85"/>
  <c r="D141" i="2"/>
  <c r="G71" i="3356"/>
  <c r="G72"/>
  <c r="G73" s="1"/>
  <c r="C12" i="40"/>
  <c r="C13" s="1"/>
  <c r="BN59" i="3"/>
  <c r="BN66" s="1"/>
  <c r="R100" i="2"/>
  <c r="J100"/>
  <c r="B100"/>
  <c r="U59" i="3"/>
  <c r="BG59"/>
  <c r="BG66" s="1"/>
  <c r="BB59"/>
  <c r="BB66"/>
  <c r="AX59"/>
  <c r="AX66"/>
  <c r="I100" i="2"/>
  <c r="AL59" i="3"/>
  <c r="AL66"/>
  <c r="P59"/>
  <c r="P66"/>
  <c r="H59"/>
  <c r="H66"/>
  <c r="T57" i="1"/>
  <c r="BO5" i="21039"/>
  <c r="B102" i="2"/>
  <c r="H9" i="3356"/>
  <c r="G40" i="21039"/>
  <c r="E52" i="1"/>
  <c r="L1" i="40"/>
  <c r="AB9" i="1"/>
  <c r="G79" i="40"/>
  <c r="N77" i="1"/>
  <c r="T77"/>
  <c r="N68"/>
  <c r="N61"/>
  <c r="O101" i="2"/>
  <c r="D27"/>
  <c r="I33" i="40"/>
  <c r="AG59" i="3"/>
  <c r="AG66"/>
  <c r="D100" i="2"/>
  <c r="F100"/>
  <c r="N100"/>
  <c r="K26"/>
  <c r="D59" i="3"/>
  <c r="D66" s="1"/>
  <c r="N26" i="2"/>
  <c r="AD59" i="3"/>
  <c r="AD66" s="1"/>
  <c r="G100" i="2"/>
  <c r="K100"/>
  <c r="O100"/>
  <c r="C63"/>
  <c r="AF59" i="3"/>
  <c r="AF66"/>
  <c r="Q59"/>
  <c r="Q66" s="1"/>
  <c r="I108" i="2"/>
  <c r="X66" i="3"/>
  <c r="AN59"/>
  <c r="AN66" s="1"/>
  <c r="U66"/>
  <c r="AS59"/>
  <c r="AS66" s="1"/>
  <c r="BA59"/>
  <c r="BA66"/>
  <c r="B137" i="2"/>
  <c r="S59" i="3"/>
  <c r="S66" s="1"/>
  <c r="E66"/>
  <c r="C141" i="2"/>
  <c r="BQ4" i="21039"/>
  <c r="Q150" i="2"/>
  <c r="D150"/>
  <c r="D136" s="1"/>
  <c r="D142" s="1"/>
  <c r="Q27"/>
  <c r="I66" i="3"/>
  <c r="AS47" i="21039"/>
  <c r="AS40"/>
  <c r="E141" i="2"/>
  <c r="N64"/>
  <c r="G65"/>
  <c r="AW59" i="3"/>
  <c r="AW66"/>
  <c r="AP59"/>
  <c r="AP66"/>
  <c r="E100" i="2"/>
  <c r="AH59" i="3"/>
  <c r="AH66"/>
  <c r="O63" i="2"/>
  <c r="Z59" i="3"/>
  <c r="Z66"/>
  <c r="E26" i="2"/>
  <c r="F59" i="3"/>
  <c r="F66" s="1"/>
  <c r="AA8" i="3356"/>
  <c r="Q26" i="2"/>
  <c r="R59" i="3"/>
  <c r="R66" s="1"/>
  <c r="S26" i="2"/>
  <c r="T59" i="3"/>
  <c r="T66"/>
  <c r="AK85" i="21039"/>
  <c r="B47"/>
  <c r="D71" i="3356"/>
  <c r="D72" s="1"/>
  <c r="D73" s="1"/>
  <c r="N27" i="2"/>
  <c r="D40" i="3356"/>
  <c r="D41" s="1"/>
  <c r="D42" s="1"/>
  <c r="B64" i="2"/>
  <c r="AK59" i="3"/>
  <c r="AK66"/>
  <c r="L101" i="2"/>
  <c r="M59" i="3"/>
  <c r="C150" i="2"/>
  <c r="C136" s="1"/>
  <c r="C142" s="1"/>
  <c r="C143" s="1"/>
  <c r="C144" s="1"/>
  <c r="C145" s="1"/>
  <c r="G45" i="40"/>
  <c r="S100" i="2"/>
  <c r="AC59" i="3"/>
  <c r="AC66" s="1"/>
  <c r="M26" i="2"/>
  <c r="G64"/>
  <c r="N66" i="3"/>
  <c r="K41" i="21039"/>
  <c r="B47" i="1"/>
  <c r="G67"/>
  <c r="G75"/>
  <c r="G59"/>
  <c r="C108" i="2"/>
  <c r="D108"/>
  <c r="B48" i="21039"/>
  <c r="B41"/>
  <c r="BN48"/>
  <c r="BN41"/>
  <c r="R48"/>
  <c r="N48"/>
  <c r="N41"/>
  <c r="L83" i="1"/>
  <c r="H47" i="21039"/>
  <c r="L108" i="2"/>
  <c r="D34"/>
  <c r="E108"/>
  <c r="N108"/>
  <c r="E71"/>
  <c r="G34"/>
  <c r="L34"/>
  <c r="E34"/>
  <c r="M34"/>
  <c r="F34"/>
  <c r="B71"/>
  <c r="O34"/>
  <c r="Q34"/>
  <c r="B34"/>
  <c r="P34"/>
  <c r="S34"/>
  <c r="R34"/>
  <c r="C34"/>
  <c r="K34"/>
  <c r="N71"/>
  <c r="I34"/>
  <c r="J34"/>
  <c r="H34"/>
  <c r="N34"/>
  <c r="J28" i="1"/>
  <c r="I28" s="1"/>
  <c r="N83"/>
  <c r="S83"/>
  <c r="S66"/>
  <c r="T81"/>
  <c r="N64"/>
  <c r="N89"/>
  <c r="S86"/>
  <c r="N66"/>
  <c r="S65"/>
  <c r="N79"/>
  <c r="N73"/>
  <c r="N90"/>
  <c r="N80"/>
  <c r="N87"/>
  <c r="N75"/>
  <c r="N74"/>
  <c r="S73"/>
  <c r="N88"/>
  <c r="S76"/>
  <c r="S79"/>
  <c r="T80"/>
  <c r="S87"/>
  <c r="N72"/>
  <c r="N81"/>
  <c r="N65"/>
  <c r="T83"/>
  <c r="N82"/>
  <c r="N63"/>
  <c r="S64"/>
  <c r="S63"/>
  <c r="S60"/>
  <c r="S72"/>
  <c r="S67"/>
  <c r="T72"/>
  <c r="S75"/>
  <c r="S88"/>
  <c r="S90"/>
  <c r="N60"/>
  <c r="N76"/>
  <c r="T75"/>
  <c r="T82"/>
  <c r="T74"/>
  <c r="T79"/>
  <c r="N86"/>
  <c r="T76"/>
  <c r="S89"/>
  <c r="N67"/>
  <c r="S74"/>
  <c r="T73"/>
  <c r="E40" i="21039" l="1"/>
  <c r="E47"/>
  <c r="BC40"/>
  <c r="BC47"/>
  <c r="C48"/>
  <c r="C41"/>
  <c r="C43" i="2"/>
  <c r="D43" s="1"/>
  <c r="E43" s="1"/>
  <c r="O48" i="21039"/>
  <c r="O41"/>
  <c r="P48"/>
  <c r="P41"/>
  <c r="I48"/>
  <c r="I41"/>
  <c r="AE47"/>
  <c r="AE40"/>
  <c r="AC47"/>
  <c r="AC40"/>
  <c r="AA47"/>
  <c r="AA40"/>
  <c r="Y47"/>
  <c r="Y40"/>
  <c r="W47"/>
  <c r="W40"/>
  <c r="U47"/>
  <c r="U40"/>
  <c r="S40"/>
  <c r="S47"/>
  <c r="Q47"/>
  <c r="Q40"/>
  <c r="BM48"/>
  <c r="BM41"/>
  <c r="AT40"/>
  <c r="AT47"/>
  <c r="AD47"/>
  <c r="AD40"/>
  <c r="Z47"/>
  <c r="Z40"/>
  <c r="X40"/>
  <c r="X47"/>
  <c r="V40"/>
  <c r="V47"/>
  <c r="R47"/>
  <c r="R40"/>
  <c r="G104" i="2"/>
  <c r="BC66" i="3"/>
  <c r="BB40" i="21039"/>
  <c r="BI48"/>
  <c r="BI41"/>
  <c r="E48"/>
  <c r="E41"/>
  <c r="AP47"/>
  <c r="AP40"/>
  <c r="AN47"/>
  <c r="AN40"/>
  <c r="AL47"/>
  <c r="AL40"/>
  <c r="K47"/>
  <c r="K40"/>
  <c r="I47"/>
  <c r="I40"/>
  <c r="M41"/>
  <c r="M48"/>
  <c r="AO47"/>
  <c r="AO40"/>
  <c r="AI47"/>
  <c r="AI40"/>
  <c r="P47"/>
  <c r="P40"/>
  <c r="L47"/>
  <c r="L40"/>
  <c r="J40"/>
  <c r="J47"/>
  <c r="BP40"/>
  <c r="B113" i="2"/>
  <c r="J39"/>
  <c r="N39"/>
  <c r="I19" i="1"/>
  <c r="K19" s="1"/>
  <c r="BJ48" i="21039"/>
  <c r="BJ41"/>
  <c r="AJ47"/>
  <c r="AJ40"/>
  <c r="N47"/>
  <c r="N40"/>
  <c r="D47"/>
  <c r="D40"/>
  <c r="AW40"/>
  <c r="D48"/>
  <c r="D41"/>
  <c r="AK47"/>
  <c r="AK40"/>
  <c r="O40"/>
  <c r="AV47"/>
  <c r="J64" i="2"/>
  <c r="J67" s="1"/>
  <c r="AB85" i="21039"/>
  <c r="BH48"/>
  <c r="BH41"/>
  <c r="M47"/>
  <c r="M40"/>
  <c r="C47"/>
  <c r="C40"/>
  <c r="AA6" i="3356"/>
  <c r="AA1" s="1"/>
  <c r="BK48" i="21039"/>
  <c r="BK41"/>
  <c r="L48"/>
  <c r="L41"/>
  <c r="U128" i="2"/>
  <c r="BS45" i="21039"/>
  <c r="B44" i="1" s="1"/>
  <c r="I39" s="1"/>
  <c r="K39" s="1"/>
  <c r="L39" s="1"/>
  <c r="AJ85" i="21039"/>
  <c r="S41"/>
  <c r="S48"/>
  <c r="H41"/>
  <c r="H48"/>
  <c r="AA7" i="3356"/>
  <c r="AA41"/>
  <c r="AF40" i="21039"/>
  <c r="AU47"/>
  <c r="AU40"/>
  <c r="J41"/>
  <c r="C101" i="2"/>
  <c r="R64"/>
  <c r="BK59" i="3"/>
  <c r="BK66"/>
  <c r="G48" i="21039"/>
  <c r="G41"/>
  <c r="AR40"/>
  <c r="AR47"/>
  <c r="AM47"/>
  <c r="AM40"/>
  <c r="AH47"/>
  <c r="AH40"/>
  <c r="Q67" i="2"/>
  <c r="F47" i="21039"/>
  <c r="F40"/>
  <c r="BO41"/>
  <c r="BO48"/>
  <c r="C57" i="1"/>
  <c r="E57" s="1"/>
  <c r="BT59" i="3"/>
  <c r="BL48" i="21039"/>
  <c r="BL41"/>
  <c r="F41"/>
  <c r="F48"/>
  <c r="AQ47"/>
  <c r="AQ40"/>
  <c r="AG47"/>
  <c r="AG40"/>
  <c r="AB47"/>
  <c r="AB40"/>
  <c r="T47"/>
  <c r="T40"/>
  <c r="M39" i="2"/>
  <c r="L75" i="1"/>
  <c r="R101" i="2"/>
  <c r="N101"/>
  <c r="BJ66" i="3"/>
  <c r="R150" i="2"/>
  <c r="AL85" i="21039"/>
  <c r="P64" i="2"/>
  <c r="P67" s="1"/>
  <c r="U85" i="21039"/>
  <c r="B138" i="2"/>
  <c r="G33" i="40"/>
  <c r="Q101" i="2"/>
  <c r="M101"/>
  <c r="M104" s="1"/>
  <c r="C64"/>
  <c r="C68" s="1"/>
  <c r="D85" i="21039"/>
  <c r="Q41"/>
  <c r="B101" i="2"/>
  <c r="H64"/>
  <c r="BI66" i="3"/>
  <c r="P101" i="2"/>
  <c r="P104" s="1"/>
  <c r="D101"/>
  <c r="X85" i="21039"/>
  <c r="K101" i="2"/>
  <c r="BE66" i="3"/>
  <c r="AY66"/>
  <c r="V66"/>
  <c r="J66"/>
  <c r="R27" i="2"/>
  <c r="R30" s="1"/>
  <c r="B48"/>
  <c r="C48" s="1"/>
  <c r="D48" s="1"/>
  <c r="I45" i="40"/>
  <c r="D8" i="1" s="1"/>
  <c r="G69" i="40"/>
  <c r="N150" i="2"/>
  <c r="T85" i="21039"/>
  <c r="AO66" i="3"/>
  <c r="D143" i="2"/>
  <c r="D144" s="1"/>
  <c r="D145" s="1"/>
  <c r="E143"/>
  <c r="E144" s="1"/>
  <c r="E145" s="1"/>
  <c r="AX40" i="21039"/>
  <c r="O39" i="2"/>
  <c r="J101"/>
  <c r="I101"/>
  <c r="K18" i="40"/>
  <c r="BM40" i="21039"/>
  <c r="BM47"/>
  <c r="BJ47"/>
  <c r="BJ40"/>
  <c r="BH40"/>
  <c r="BH47"/>
  <c r="BF47"/>
  <c r="BF40"/>
  <c r="BD40"/>
  <c r="BD47"/>
  <c r="BK47"/>
  <c r="BK40"/>
  <c r="BN47"/>
  <c r="BN40"/>
  <c r="BL47"/>
  <c r="BL40"/>
  <c r="BI47"/>
  <c r="BI40"/>
  <c r="BG47"/>
  <c r="BG40"/>
  <c r="BE47"/>
  <c r="BE40"/>
  <c r="BO47"/>
  <c r="BO40"/>
  <c r="G65" i="1"/>
  <c r="G105" i="2"/>
  <c r="D104"/>
  <c r="T53" i="1"/>
  <c r="F104" i="2"/>
  <c r="B104"/>
  <c r="BK85" i="21039"/>
  <c r="P113" i="2"/>
  <c r="L76"/>
  <c r="S39"/>
  <c r="P39"/>
  <c r="AQ85" i="21039"/>
  <c r="AI85"/>
  <c r="E113" i="2"/>
  <c r="J113"/>
  <c r="L113"/>
  <c r="BM85" i="21039"/>
  <c r="G30" i="2"/>
  <c r="BA47" i="21039"/>
  <c r="BA40"/>
  <c r="A84" i="40"/>
  <c r="R15" i="1"/>
  <c r="B27"/>
  <c r="B29" s="1"/>
  <c r="D4" s="1"/>
  <c r="K20" i="40"/>
  <c r="G59"/>
  <c r="T15" i="1" s="1"/>
  <c r="T34" s="1"/>
  <c r="T88"/>
  <c r="B87" i="40" s="1"/>
  <c r="G87" s="1"/>
  <c r="T86" i="1"/>
  <c r="A85" i="40"/>
  <c r="A86"/>
  <c r="A87"/>
  <c r="A89"/>
  <c r="B86"/>
  <c r="G86" s="1"/>
  <c r="T90" i="1"/>
  <c r="B89" i="40" s="1"/>
  <c r="G89" s="1"/>
  <c r="A88"/>
  <c r="N19" i="1"/>
  <c r="L19"/>
  <c r="Q25"/>
  <c r="D10"/>
  <c r="K28"/>
  <c r="I27"/>
  <c r="K27" s="1"/>
  <c r="J29"/>
  <c r="J46" s="1"/>
  <c r="S4" s="1"/>
  <c r="K35" i="40"/>
  <c r="I69"/>
  <c r="U4" i="3"/>
  <c r="T5" i="21039" s="1"/>
  <c r="T48" s="1"/>
  <c r="G70" i="1"/>
  <c r="K20"/>
  <c r="N20" s="1"/>
  <c r="B49" i="2"/>
  <c r="W4" i="3"/>
  <c r="V5" i="21039" s="1"/>
  <c r="V48" s="1"/>
  <c r="H19" i="3356"/>
  <c r="I19" s="1"/>
  <c r="J19" s="1"/>
  <c r="K19" s="1"/>
  <c r="L19" s="1"/>
  <c r="M19" s="1"/>
  <c r="N19" s="1"/>
  <c r="O19" s="1"/>
  <c r="P19" s="1"/>
  <c r="Q19" s="1"/>
  <c r="R19" s="1"/>
  <c r="S19" s="1"/>
  <c r="N104" i="2"/>
  <c r="N67"/>
  <c r="S30"/>
  <c r="O30"/>
  <c r="M30"/>
  <c r="K30"/>
  <c r="E30"/>
  <c r="BB85" i="21039"/>
  <c r="D113" i="2"/>
  <c r="P76"/>
  <c r="I76"/>
  <c r="F76"/>
  <c r="D76"/>
  <c r="S76"/>
  <c r="C76"/>
  <c r="K39"/>
  <c r="I39"/>
  <c r="F39"/>
  <c r="B39"/>
  <c r="H39"/>
  <c r="E39"/>
  <c r="Q104"/>
  <c r="K104"/>
  <c r="E104"/>
  <c r="S67"/>
  <c r="M67"/>
  <c r="I67"/>
  <c r="P30"/>
  <c r="N30"/>
  <c r="F30"/>
  <c r="D30"/>
  <c r="D37" s="1"/>
  <c r="D39" s="1"/>
  <c r="D22"/>
  <c r="D23" s="1"/>
  <c r="D31" s="1"/>
  <c r="D32" s="1"/>
  <c r="U139"/>
  <c r="B46" i="1" s="1"/>
  <c r="I41" s="1"/>
  <c r="N49" s="1"/>
  <c r="O49" s="1"/>
  <c r="L104" i="2"/>
  <c r="Q30"/>
  <c r="I31"/>
  <c r="I18" s="1"/>
  <c r="G67"/>
  <c r="BS56" i="21039"/>
  <c r="C30" i="2"/>
  <c r="H67"/>
  <c r="B30"/>
  <c r="O104"/>
  <c r="I85" i="21039"/>
  <c r="J85"/>
  <c r="C113" i="2"/>
  <c r="K76"/>
  <c r="H76"/>
  <c r="B76"/>
  <c r="Q76"/>
  <c r="N76"/>
  <c r="M76"/>
  <c r="J76"/>
  <c r="G76"/>
  <c r="N105"/>
  <c r="N106" s="1"/>
  <c r="BG85" i="21039"/>
  <c r="B141" i="2"/>
  <c r="BI85" i="21039"/>
  <c r="BE85"/>
  <c r="AF85"/>
  <c r="M68" i="2"/>
  <c r="M69" s="1"/>
  <c r="M70" s="1"/>
  <c r="M71" s="1"/>
  <c r="F68"/>
  <c r="F69" s="1"/>
  <c r="F70" s="1"/>
  <c r="F71" s="1"/>
  <c r="B85" i="21039"/>
  <c r="I30" i="2"/>
  <c r="K31"/>
  <c r="K32" s="1"/>
  <c r="M31"/>
  <c r="M32" s="1"/>
  <c r="O31"/>
  <c r="O18" s="1"/>
  <c r="P31"/>
  <c r="P32" s="1"/>
  <c r="S31"/>
  <c r="S18" s="1"/>
  <c r="F113"/>
  <c r="I113"/>
  <c r="S113"/>
  <c r="B39" i="1"/>
  <c r="I21" s="1"/>
  <c r="Z85" i="21039"/>
  <c r="P85"/>
  <c r="AW85"/>
  <c r="S85"/>
  <c r="E85"/>
  <c r="V85"/>
  <c r="M85"/>
  <c r="Q59" i="2"/>
  <c r="Q60" s="1"/>
  <c r="Q68" s="1"/>
  <c r="Q69" s="1"/>
  <c r="Q70" s="1"/>
  <c r="Q71" s="1"/>
  <c r="AE85" i="21039"/>
  <c r="H85"/>
  <c r="AO85"/>
  <c r="AH85"/>
  <c r="BS82"/>
  <c r="AN85"/>
  <c r="B150" i="2"/>
  <c r="Q39"/>
  <c r="B22"/>
  <c r="B23" s="1"/>
  <c r="B31" s="1"/>
  <c r="B32" s="1"/>
  <c r="L85" i="21039"/>
  <c r="M105" i="2"/>
  <c r="M106" s="1"/>
  <c r="M107" s="1"/>
  <c r="M108" s="1"/>
  <c r="E105"/>
  <c r="E106" s="1"/>
  <c r="S68"/>
  <c r="S69" s="1"/>
  <c r="S70" s="1"/>
  <c r="S71" s="1"/>
  <c r="I68"/>
  <c r="I69" s="1"/>
  <c r="I70" s="1"/>
  <c r="I71" s="1"/>
  <c r="E31"/>
  <c r="E32" s="1"/>
  <c r="F31"/>
  <c r="F32" s="1"/>
  <c r="G31"/>
  <c r="G18" s="1"/>
  <c r="I37" i="1"/>
  <c r="O44" s="1"/>
  <c r="H68" i="2"/>
  <c r="H69" s="1"/>
  <c r="H70" s="1"/>
  <c r="H71" s="1"/>
  <c r="Q105"/>
  <c r="Q106" s="1"/>
  <c r="Q108" s="1"/>
  <c r="D105"/>
  <c r="D106" s="1"/>
  <c r="Q31"/>
  <c r="Q18" s="1"/>
  <c r="R31"/>
  <c r="R18" s="1"/>
  <c r="G106"/>
  <c r="G107" s="1"/>
  <c r="G108" s="1"/>
  <c r="C23"/>
  <c r="K68"/>
  <c r="K69" s="1"/>
  <c r="K70" s="1"/>
  <c r="K71" s="1"/>
  <c r="K105"/>
  <c r="K106" s="1"/>
  <c r="K107" s="1"/>
  <c r="K108" s="1"/>
  <c r="E68"/>
  <c r="P105"/>
  <c r="P106" s="1"/>
  <c r="P108" s="1"/>
  <c r="BO85" i="21039"/>
  <c r="AG85"/>
  <c r="AC85"/>
  <c r="AD85"/>
  <c r="Y85"/>
  <c r="C85"/>
  <c r="G85"/>
  <c r="H31" i="2"/>
  <c r="H32" s="1"/>
  <c r="Q85" i="21039"/>
  <c r="BD85"/>
  <c r="W85"/>
  <c r="R68" i="2"/>
  <c r="R69" s="1"/>
  <c r="R70" s="1"/>
  <c r="R71" s="1"/>
  <c r="AA85" i="21039"/>
  <c r="B68" i="2"/>
  <c r="B69" s="1"/>
  <c r="R85" i="21039"/>
  <c r="N31" i="2"/>
  <c r="N18" s="1"/>
  <c r="N68"/>
  <c r="F85" i="21039"/>
  <c r="N85"/>
  <c r="AS85"/>
  <c r="AY85"/>
  <c r="K85"/>
  <c r="F105" i="2"/>
  <c r="F106" s="1"/>
  <c r="F107" s="1"/>
  <c r="F108" s="1"/>
  <c r="BA85" i="21039"/>
  <c r="BP85"/>
  <c r="BN85"/>
  <c r="BL85"/>
  <c r="BJ85"/>
  <c r="BH85"/>
  <c r="BF85"/>
  <c r="BC85"/>
  <c r="AP85"/>
  <c r="AM85"/>
  <c r="AU85"/>
  <c r="AR85"/>
  <c r="G113" i="2"/>
  <c r="H113"/>
  <c r="K113"/>
  <c r="M113"/>
  <c r="N113"/>
  <c r="T59" i="1"/>
  <c r="O32" i="2"/>
  <c r="BS38" i="21039"/>
  <c r="B42" i="1" s="1"/>
  <c r="I32" i="2"/>
  <c r="R104"/>
  <c r="R105"/>
  <c r="K67"/>
  <c r="L39"/>
  <c r="C105"/>
  <c r="C106" s="1"/>
  <c r="C104"/>
  <c r="L30"/>
  <c r="O76"/>
  <c r="E76"/>
  <c r="R39"/>
  <c r="G39"/>
  <c r="Q113"/>
  <c r="R113"/>
  <c r="C89" i="1"/>
  <c r="E60"/>
  <c r="M66" i="3"/>
  <c r="L31" i="2"/>
  <c r="L18" s="1"/>
  <c r="T62" i="1"/>
  <c r="J105" i="2"/>
  <c r="J104"/>
  <c r="C67"/>
  <c r="I105"/>
  <c r="I104"/>
  <c r="V45" i="1"/>
  <c r="N32" i="2"/>
  <c r="N69"/>
  <c r="J68"/>
  <c r="D67"/>
  <c r="D68"/>
  <c r="O64"/>
  <c r="G68"/>
  <c r="B67"/>
  <c r="C31"/>
  <c r="B142"/>
  <c r="L105"/>
  <c r="H30"/>
  <c r="E67"/>
  <c r="L64"/>
  <c r="H101"/>
  <c r="S101"/>
  <c r="AT85" i="21039"/>
  <c r="B105" i="2"/>
  <c r="J30"/>
  <c r="T55" i="1"/>
  <c r="U137" i="2"/>
  <c r="B41" i="1" s="1"/>
  <c r="I38" s="1"/>
  <c r="J31" i="2"/>
  <c r="BT56" i="3"/>
  <c r="BT66" s="1"/>
  <c r="T78" i="1"/>
  <c r="K36"/>
  <c r="L36" s="1"/>
  <c r="K41"/>
  <c r="V49"/>
  <c r="T71"/>
  <c r="AZ40" i="21039"/>
  <c r="AZ47"/>
  <c r="P2" i="1"/>
  <c r="U146" i="2"/>
  <c r="V41" i="1" s="1"/>
  <c r="U147" i="2"/>
  <c r="N43" i="1" s="1"/>
  <c r="O43" s="1"/>
  <c r="B1" i="3"/>
  <c r="A1" i="3356"/>
  <c r="A1" i="40"/>
  <c r="A1" i="21039"/>
  <c r="U148" i="2"/>
  <c r="Q35" i="1" s="1"/>
  <c r="T2"/>
  <c r="G11"/>
  <c r="AY40" i="21039"/>
  <c r="AY47"/>
  <c r="E46" i="2" l="1"/>
  <c r="E49" s="1"/>
  <c r="F43"/>
  <c r="D46"/>
  <c r="D49" s="1"/>
  <c r="V4" i="3"/>
  <c r="U5" i="21039" s="1"/>
  <c r="U48" s="1"/>
  <c r="C46" i="2"/>
  <c r="C49" s="1"/>
  <c r="E55"/>
  <c r="T16" i="1"/>
  <c r="I42" s="1"/>
  <c r="Q43"/>
  <c r="K18" i="2"/>
  <c r="P68"/>
  <c r="F18"/>
  <c r="K37" i="1"/>
  <c r="P45" s="1"/>
  <c r="Q32" i="2"/>
  <c r="S32"/>
  <c r="L20" i="1"/>
  <c r="B55" i="2"/>
  <c r="N45" i="1"/>
  <c r="O45" s="1"/>
  <c r="L32" i="2"/>
  <c r="F55"/>
  <c r="P18"/>
  <c r="J47" i="1"/>
  <c r="T44"/>
  <c r="B85" i="40"/>
  <c r="G85" s="1"/>
  <c r="G90" s="1"/>
  <c r="T9" i="1"/>
  <c r="T4"/>
  <c r="X4" i="3"/>
  <c r="W5" i="21039" s="1"/>
  <c r="W48" s="1"/>
  <c r="T41"/>
  <c r="U41"/>
  <c r="E89" i="1"/>
  <c r="G60"/>
  <c r="T52"/>
  <c r="T56" s="1"/>
  <c r="V41" i="21039"/>
  <c r="E48" i="2"/>
  <c r="W41" i="21039"/>
  <c r="Y4" i="3"/>
  <c r="X5" i="21039" s="1"/>
  <c r="F46" i="2"/>
  <c r="F49" s="1"/>
  <c r="G43"/>
  <c r="G55" s="1"/>
  <c r="E69"/>
  <c r="U134"/>
  <c r="M18"/>
  <c r="L41" i="1"/>
  <c r="E18" i="2"/>
  <c r="B18"/>
  <c r="D18"/>
  <c r="K21" i="1"/>
  <c r="L21" s="1"/>
  <c r="G32" i="2"/>
  <c r="H18"/>
  <c r="R32"/>
  <c r="U133"/>
  <c r="B36" i="1" s="1"/>
  <c r="B37" s="1"/>
  <c r="I22" s="1"/>
  <c r="K22" s="1"/>
  <c r="K24" s="1"/>
  <c r="K29" s="1"/>
  <c r="N18" s="1"/>
  <c r="R106" i="2"/>
  <c r="R108" s="1"/>
  <c r="B106"/>
  <c r="B107" s="1"/>
  <c r="B108" s="1"/>
  <c r="L68"/>
  <c r="L67"/>
  <c r="B143"/>
  <c r="B144" s="1"/>
  <c r="B145" s="1"/>
  <c r="G69"/>
  <c r="G70" s="1"/>
  <c r="G71" s="1"/>
  <c r="H105"/>
  <c r="H104"/>
  <c r="L106"/>
  <c r="C38"/>
  <c r="C39" s="1"/>
  <c r="C18"/>
  <c r="C32"/>
  <c r="D69"/>
  <c r="D70" s="1"/>
  <c r="D71" s="1"/>
  <c r="D55"/>
  <c r="I106"/>
  <c r="J106"/>
  <c r="J107" s="1"/>
  <c r="J108" s="1"/>
  <c r="L37" i="1"/>
  <c r="S104" i="2"/>
  <c r="S105"/>
  <c r="O68"/>
  <c r="O67"/>
  <c r="J69"/>
  <c r="J70" s="1"/>
  <c r="J71" s="1"/>
  <c r="C69"/>
  <c r="C70" s="1"/>
  <c r="C71" s="1"/>
  <c r="C55"/>
  <c r="P69"/>
  <c r="P70" s="1"/>
  <c r="P71" s="1"/>
  <c r="U138"/>
  <c r="J32"/>
  <c r="J18"/>
  <c r="V47" i="1"/>
  <c r="N47"/>
  <c r="O47" s="1"/>
  <c r="K38"/>
  <c r="L38" s="1"/>
  <c r="P49"/>
  <c r="N41"/>
  <c r="O41" s="1"/>
  <c r="Q41"/>
  <c r="O40"/>
  <c r="J1" i="40"/>
  <c r="T1" i="2"/>
  <c r="O1" i="3356"/>
  <c r="BQ1" i="3"/>
  <c r="Y1" i="3356"/>
  <c r="BQ1" i="21039"/>
  <c r="N35" i="1"/>
  <c r="O35" s="1"/>
  <c r="O34"/>
  <c r="V35"/>
  <c r="D6" l="1"/>
  <c r="B90" i="40"/>
  <c r="H43" i="2"/>
  <c r="Z4" i="3"/>
  <c r="Y5" i="21039" s="1"/>
  <c r="G46" i="2"/>
  <c r="G49" s="1"/>
  <c r="X48" i="21039"/>
  <c r="X41"/>
  <c r="F48" i="2"/>
  <c r="G48" s="1"/>
  <c r="H48" s="1"/>
  <c r="I48" s="1"/>
  <c r="J48" s="1"/>
  <c r="K48" s="1"/>
  <c r="L48" s="1"/>
  <c r="M48" s="1"/>
  <c r="I24" i="1"/>
  <c r="I29" s="1"/>
  <c r="B48"/>
  <c r="L22"/>
  <c r="U141" i="2"/>
  <c r="S106"/>
  <c r="S107" s="1"/>
  <c r="S108" s="1"/>
  <c r="H106"/>
  <c r="H107" s="1"/>
  <c r="H108" s="1"/>
  <c r="L69"/>
  <c r="L70" s="1"/>
  <c r="L71" s="1"/>
  <c r="O69"/>
  <c r="O70" s="1"/>
  <c r="O71" s="1"/>
  <c r="P47" i="1"/>
  <c r="K42" l="1"/>
  <c r="I44"/>
  <c r="Y48" i="21039"/>
  <c r="Y41"/>
  <c r="I43" i="2"/>
  <c r="H46"/>
  <c r="H49" s="1"/>
  <c r="AA4" i="3"/>
  <c r="Z5" i="21039" s="1"/>
  <c r="H55" i="2"/>
  <c r="D5" i="1"/>
  <c r="D7" s="1"/>
  <c r="D11" s="1"/>
  <c r="B49"/>
  <c r="L42" l="1"/>
  <c r="K44"/>
  <c r="N32" s="1"/>
  <c r="O46"/>
  <c r="Z41" i="21039"/>
  <c r="Z48"/>
  <c r="AB4" i="3"/>
  <c r="AA5" i="21039" s="1"/>
  <c r="I46" i="2"/>
  <c r="I49" s="1"/>
  <c r="J43"/>
  <c r="I55"/>
  <c r="T5" i="1"/>
  <c r="T8"/>
  <c r="N8" s="1"/>
  <c r="I46"/>
  <c r="E8" i="21040"/>
  <c r="S5" i="1"/>
  <c r="J46" i="2" l="1"/>
  <c r="J49" s="1"/>
  <c r="AC4" i="3"/>
  <c r="AB5" i="21039" s="1"/>
  <c r="K43" i="2"/>
  <c r="J55"/>
  <c r="AA41" i="21039"/>
  <c r="AA48"/>
  <c r="I47" i="1"/>
  <c r="K46"/>
  <c r="K46" i="2" l="1"/>
  <c r="K49" s="1"/>
  <c r="L43"/>
  <c r="AD4" i="3"/>
  <c r="AC5" i="21039" s="1"/>
  <c r="K55" i="2"/>
  <c r="AB48" i="21039"/>
  <c r="AB41"/>
  <c r="K31" i="1"/>
  <c r="K47"/>
  <c r="AC48" i="21039" l="1"/>
  <c r="AC41"/>
  <c r="AE4" i="3"/>
  <c r="AD5" i="21039" s="1"/>
  <c r="L46" i="2"/>
  <c r="L49" s="1"/>
  <c r="M43"/>
  <c r="L55"/>
  <c r="O105"/>
  <c r="U142" l="1"/>
  <c r="T38" i="1"/>
  <c r="N43" i="2"/>
  <c r="AF4" i="3"/>
  <c r="AE5" i="21039" s="1"/>
  <c r="M46" i="2"/>
  <c r="M49" s="1"/>
  <c r="M55"/>
  <c r="AD48" i="21039"/>
  <c r="AD41"/>
  <c r="O106" i="2"/>
  <c r="O108" s="1"/>
  <c r="U145" s="1"/>
  <c r="L9" i="1" s="1"/>
  <c r="E3" i="21040" s="1"/>
  <c r="E4" s="1"/>
  <c r="O112" i="2"/>
  <c r="N46" l="1"/>
  <c r="AG4" i="3"/>
  <c r="AF5" i="21039" s="1"/>
  <c r="O43" i="2"/>
  <c r="N55"/>
  <c r="AE41" i="21039"/>
  <c r="AE48"/>
  <c r="L11" i="1"/>
  <c r="B12" s="1"/>
  <c r="U149" i="2"/>
  <c r="O113"/>
  <c r="U150" s="1"/>
  <c r="N2" i="1" l="1"/>
  <c r="D12"/>
  <c r="AH4" i="3"/>
  <c r="AG5" i="21039" s="1"/>
  <c r="O46" i="2"/>
  <c r="O49" s="1"/>
  <c r="P43"/>
  <c r="O55"/>
  <c r="N49"/>
  <c r="N48"/>
  <c r="AF41" i="21039"/>
  <c r="AF48"/>
  <c r="O42" i="1"/>
  <c r="V39"/>
  <c r="O38"/>
  <c r="V43"/>
  <c r="Q39"/>
  <c r="N39"/>
  <c r="O39" s="1"/>
  <c r="N37"/>
  <c r="O37" s="1"/>
  <c r="O36"/>
  <c r="Q37"/>
  <c r="V37"/>
  <c r="A12" l="1"/>
  <c r="B16" i="21040" s="1"/>
  <c r="P46" i="2"/>
  <c r="P49" s="1"/>
  <c r="AI4" i="3"/>
  <c r="AH5" i="21039" s="1"/>
  <c r="Q43" i="2"/>
  <c r="P55"/>
  <c r="AG48" i="21039"/>
  <c r="AG41"/>
  <c r="O48" i="2"/>
  <c r="P48" s="1"/>
  <c r="Q48" s="1"/>
  <c r="R48" s="1"/>
  <c r="S48" s="1"/>
  <c r="B85" s="1"/>
  <c r="B15" i="21040"/>
  <c r="R43" i="2" l="1"/>
  <c r="AJ4" i="3"/>
  <c r="AI5" i="21039" s="1"/>
  <c r="Q46" i="2"/>
  <c r="Q49" s="1"/>
  <c r="Q55"/>
  <c r="AH41" i="21039"/>
  <c r="AH48"/>
  <c r="S43" i="2" l="1"/>
  <c r="AK4" i="3"/>
  <c r="AJ5" i="21039" s="1"/>
  <c r="R46" i="2"/>
  <c r="R49" s="1"/>
  <c r="R55"/>
  <c r="AI41" i="21039"/>
  <c r="AI48"/>
  <c r="AL4" i="3" l="1"/>
  <c r="AK5" i="21039" s="1"/>
  <c r="S46" i="2"/>
  <c r="S49" s="1"/>
  <c r="B80"/>
  <c r="S55"/>
  <c r="AJ41" i="21039"/>
  <c r="AJ48"/>
  <c r="AM4" i="3" l="1"/>
  <c r="AL5" i="21039" s="1"/>
  <c r="C80" i="2"/>
  <c r="B83"/>
  <c r="B86" s="1"/>
  <c r="B92"/>
  <c r="AK41" i="21039"/>
  <c r="AK48"/>
  <c r="AL41" l="1"/>
  <c r="AL48"/>
  <c r="AN4" i="3"/>
  <c r="AM5" i="21039" s="1"/>
  <c r="D80" i="2"/>
  <c r="C83"/>
  <c r="C92"/>
  <c r="C86" l="1"/>
  <c r="C85"/>
  <c r="AM41" i="21039"/>
  <c r="AM48"/>
  <c r="AO4" i="3"/>
  <c r="AN5" i="21039" s="1"/>
  <c r="D83" i="2"/>
  <c r="E80"/>
  <c r="D92"/>
  <c r="E83" l="1"/>
  <c r="AP4" i="3"/>
  <c r="AO5" i="21039" s="1"/>
  <c r="F80" i="2"/>
  <c r="E92"/>
  <c r="AN41" i="21039"/>
  <c r="AN48"/>
  <c r="D86" i="2"/>
  <c r="D85"/>
  <c r="F83" l="1"/>
  <c r="F86" s="1"/>
  <c r="AQ4" i="3"/>
  <c r="AP5" i="21039" s="1"/>
  <c r="G80" i="2"/>
  <c r="F92"/>
  <c r="E85"/>
  <c r="F85" s="1"/>
  <c r="G85" s="1"/>
  <c r="H85" s="1"/>
  <c r="E86"/>
  <c r="AO48" i="21039"/>
  <c r="AO41"/>
  <c r="AP41" l="1"/>
  <c r="AP48"/>
  <c r="H80" i="2"/>
  <c r="AR4" i="3"/>
  <c r="AQ5" i="21039" s="1"/>
  <c r="G83" i="2"/>
  <c r="G86" s="1"/>
  <c r="G92"/>
  <c r="H83" l="1"/>
  <c r="H86" s="1"/>
  <c r="AS4" i="3"/>
  <c r="AR5" i="21039" s="1"/>
  <c r="I80" i="2"/>
  <c r="H92"/>
  <c r="AQ48" i="21039"/>
  <c r="AQ41"/>
  <c r="J80" i="2" l="1"/>
  <c r="I83"/>
  <c r="AT4" i="3"/>
  <c r="AS5" i="21039" s="1"/>
  <c r="I92" i="2"/>
  <c r="AR41" i="21039"/>
  <c r="AR48"/>
  <c r="AS41" l="1"/>
  <c r="AS48"/>
  <c r="J83" i="2"/>
  <c r="J86" s="1"/>
  <c r="AU4" i="3"/>
  <c r="AT5" i="21039" s="1"/>
  <c r="K80" i="2"/>
  <c r="J92"/>
  <c r="I85"/>
  <c r="J85" s="1"/>
  <c r="K85" s="1"/>
  <c r="L85" s="1"/>
  <c r="M85" s="1"/>
  <c r="N85" s="1"/>
  <c r="O85" s="1"/>
  <c r="P85" s="1"/>
  <c r="Q85" s="1"/>
  <c r="R85" s="1"/>
  <c r="S85" s="1"/>
  <c r="I86"/>
  <c r="B122" l="1"/>
  <c r="C122" s="1"/>
  <c r="D122" s="1"/>
  <c r="E122" s="1"/>
  <c r="U122" s="1"/>
  <c r="AV4" i="3"/>
  <c r="AU5" i="21039" s="1"/>
  <c r="L80" i="2"/>
  <c r="K83"/>
  <c r="K86" s="1"/>
  <c r="K92"/>
  <c r="AT41" i="21039"/>
  <c r="AT48"/>
  <c r="Q28" i="1" l="1"/>
  <c r="AU41" i="21039"/>
  <c r="AU48"/>
  <c r="L83" i="2"/>
  <c r="L86" s="1"/>
  <c r="AW4" i="3"/>
  <c r="AV5" i="21039" s="1"/>
  <c r="M80" i="2"/>
  <c r="L92"/>
  <c r="AX4" i="3" l="1"/>
  <c r="AW5" i="21039" s="1"/>
  <c r="M83" i="2"/>
  <c r="M86" s="1"/>
  <c r="N80"/>
  <c r="M92"/>
  <c r="AV41" i="21039"/>
  <c r="AV48"/>
  <c r="N83" i="2" l="1"/>
  <c r="N86" s="1"/>
  <c r="O80"/>
  <c r="AY4" i="3"/>
  <c r="AX5" i="21039" s="1"/>
  <c r="N92" i="2"/>
  <c r="AW48" i="21039"/>
  <c r="AW41"/>
  <c r="AX41" l="1"/>
  <c r="AX48"/>
  <c r="O83" i="2"/>
  <c r="O86" s="1"/>
  <c r="P80"/>
  <c r="AZ4" i="3"/>
  <c r="AY5" i="21039" s="1"/>
  <c r="O92" i="2"/>
  <c r="AY41" i="21039" l="1"/>
  <c r="AY48"/>
  <c r="BA4" i="3"/>
  <c r="AZ5" i="21039" s="1"/>
  <c r="P83" i="2"/>
  <c r="P86" s="1"/>
  <c r="P92"/>
  <c r="R80" l="1"/>
  <c r="BB4" i="3"/>
  <c r="BA5" i="21039" s="1"/>
  <c r="Q83" i="2"/>
  <c r="Q86" s="1"/>
  <c r="Q92"/>
  <c r="AZ41" i="21039"/>
  <c r="AZ48"/>
  <c r="R83" i="2" l="1"/>
  <c r="R86" s="1"/>
  <c r="BC4" i="3"/>
  <c r="BB5" i="21039" s="1"/>
  <c r="S80" i="2"/>
  <c r="R92"/>
  <c r="BA41" i="21039"/>
  <c r="BA48"/>
  <c r="BD4" i="3" l="1"/>
  <c r="BC5" i="21039" s="1"/>
  <c r="B117" i="2"/>
  <c r="S83"/>
  <c r="S86" s="1"/>
  <c r="S92"/>
  <c r="BB48" i="21039"/>
  <c r="BB41"/>
  <c r="BC41" l="1"/>
  <c r="BC48"/>
  <c r="B120" i="2"/>
  <c r="BE4" i="3"/>
  <c r="BD5" i="21039" s="1"/>
  <c r="B123" i="2"/>
  <c r="C117"/>
  <c r="B129"/>
  <c r="BF4" i="3" l="1"/>
  <c r="BE5" i="21039" s="1"/>
  <c r="D117" i="2"/>
  <c r="C123"/>
  <c r="C129"/>
  <c r="BD48" i="21039"/>
  <c r="BD41"/>
  <c r="D123" i="2" l="1"/>
  <c r="D120"/>
  <c r="BG4" i="3"/>
  <c r="BF5" i="21039" s="1"/>
  <c r="D129" i="2"/>
  <c r="E117"/>
  <c r="BE41" i="21039"/>
  <c r="BE48"/>
  <c r="E120" i="2" l="1"/>
  <c r="E123"/>
  <c r="U123" s="1"/>
  <c r="I15" i="1" s="1"/>
  <c r="BH4" i="3"/>
  <c r="BG5" i="21039" s="1"/>
  <c r="E129" i="2"/>
  <c r="BF41" i="21039"/>
  <c r="BF48"/>
  <c r="BG48" l="1"/>
  <c r="BG41"/>
</calcChain>
</file>

<file path=xl/sharedStrings.xml><?xml version="1.0" encoding="utf-8"?>
<sst xmlns="http://schemas.openxmlformats.org/spreadsheetml/2006/main" count="638" uniqueCount="276">
  <si>
    <t>CALCULATED BALANCE OVER YEAR</t>
  </si>
  <si>
    <t>OVERALL</t>
  </si>
  <si>
    <t>BANK POSITION AT LAST MEETING</t>
  </si>
  <si>
    <t>NOTES</t>
  </si>
  <si>
    <t>OPERATING SURPLUS OVER YEAR</t>
  </si>
  <si>
    <t>FLOATING FUND AT START OF YEAR</t>
  </si>
  <si>
    <t>BANK POSITION THIS YEAR</t>
  </si>
  <si>
    <t>BALANCE @</t>
  </si>
  <si>
    <t>FLOATING FUND CARRIED FORWARD TO NEXT YEAR</t>
  </si>
  <si>
    <t>TRIP DETAILS</t>
  </si>
  <si>
    <t>TOTALS</t>
  </si>
  <si>
    <t>Last Year</t>
  </si>
  <si>
    <t>NUMBER OF DAYS ON BOAT</t>
  </si>
  <si>
    <t>NUMBER OF NON-PARTICIPANT-DAYS</t>
  </si>
  <si>
    <t>INCOME</t>
  </si>
  <si>
    <t>INCOME ANALYSIS</t>
  </si>
  <si>
    <t>ACTUAL</t>
  </si>
  <si>
    <t>BUDGET</t>
  </si>
  <si>
    <t>Income from non participants</t>
  </si>
  <si>
    <t>Trip charge v pump-outs (NET)</t>
  </si>
  <si>
    <t>INCOME OVER YEAR</t>
  </si>
  <si>
    <t>Daily charge v Fuel,gas,oil etc (NET)</t>
  </si>
  <si>
    <t>TOTAL</t>
  </si>
  <si>
    <t>FIXED CHARGE (PER TRIP)</t>
  </si>
  <si>
    <t>DAILY CHARGE (FUEL/GAS ETC.)</t>
  </si>
  <si>
    <t>Daily:</t>
  </si>
  <si>
    <t>Fuel+ Oil/day</t>
  </si>
  <si>
    <t>NON PARTICIPANTS' CONTRIBUTIONS</t>
  </si>
  <si>
    <t>Gas/day</t>
  </si>
  <si>
    <t>SHARES</t>
  </si>
  <si>
    <t>Trip:</t>
  </si>
  <si>
    <t>PumpO/trip</t>
  </si>
  <si>
    <t>TOTAL INCOME</t>
  </si>
  <si>
    <t>TOTAL BUDGETED INCOME</t>
  </si>
  <si>
    <t>EXPENDITURE OVER YEAR</t>
  </si>
  <si>
    <t>EXPENDITURE</t>
  </si>
  <si>
    <t>RUNNING COSTS</t>
  </si>
  <si>
    <t>GAS</t>
  </si>
  <si>
    <t xml:space="preserve">FUEL </t>
  </si>
  <si>
    <t>ENGINE OIL</t>
  </si>
  <si>
    <t>EXPENDITURE ANALYSIS</t>
  </si>
  <si>
    <t>REPLACEMENTS</t>
  </si>
  <si>
    <t>TOTAL (COVERED BY DAILY CHARGE)</t>
  </si>
  <si>
    <t>PUMP-OUT</t>
  </si>
  <si>
    <t>TOTAL COVERED BY FIXED CHARGE</t>
  </si>
  <si>
    <t>OTHER COSTS</t>
  </si>
  <si>
    <t>Account charges</t>
  </si>
  <si>
    <t>SCHEDULED MAINTENANCE</t>
  </si>
  <si>
    <t>UNPLANNED EXPENDITURE</t>
  </si>
  <si>
    <t>MOORINGS ETC.</t>
  </si>
  <si>
    <t>ACCOUNT CHARGES</t>
  </si>
  <si>
    <t>YEAR EXPENDITURE</t>
  </si>
  <si>
    <t>REPLATING</t>
  </si>
  <si>
    <t>TOTAL EXPENDITURE</t>
  </si>
  <si>
    <t>TOTAL INCLUDING FLOATING FUND</t>
  </si>
  <si>
    <t>MAINTENANCE</t>
  </si>
  <si>
    <t>C</t>
  </si>
  <si>
    <t>Balance on jobs completed</t>
  </si>
  <si>
    <t>(C)</t>
  </si>
  <si>
    <t>X</t>
  </si>
  <si>
    <t>OTHER &amp; UNPLANNED EXPENDITURE</t>
  </si>
  <si>
    <t>(X)</t>
  </si>
  <si>
    <t>N</t>
  </si>
  <si>
    <t>(N)</t>
  </si>
  <si>
    <t>INCOME - SUBS</t>
  </si>
  <si>
    <t>SHARE</t>
  </si>
  <si>
    <t>DEPOSIT SLIP</t>
  </si>
  <si>
    <t>post bal.</t>
  </si>
  <si>
    <t>SUBMITTED BY:</t>
  </si>
  <si>
    <t>TRIP START (DD/MM/YY)</t>
  </si>
  <si>
    <t>TOTAL CONTRIBUTION</t>
  </si>
  <si>
    <t>MAINT</t>
  </si>
  <si>
    <t>EXPENDITURE - RUNNING COSTS</t>
  </si>
  <si>
    <t>EXPENDITURE - OTHER COSTS</t>
  </si>
  <si>
    <t>TOTAL (OTHER COSTS)</t>
  </si>
  <si>
    <t>Cheque number</t>
  </si>
  <si>
    <t>TOTAL SCHEDULED MAINTENANCE</t>
  </si>
  <si>
    <t>TOTAL FUNDED BY FLOATING FUND</t>
  </si>
  <si>
    <t>SPECIAL PROJECTS</t>
  </si>
  <si>
    <t>TOTAL UNPLANNED EXPENDITURE</t>
  </si>
  <si>
    <t>TOTAL INCOME FROM PROVISIONS</t>
  </si>
  <si>
    <t>TOTAL EXPENDITURE TO PROVISIONS</t>
  </si>
  <si>
    <t>Provisioned</t>
  </si>
  <si>
    <t>PUMP-OUT - TOTAL (COVERED BY TRIP CHARGE)</t>
  </si>
  <si>
    <t>UNDER SPEND</t>
  </si>
  <si>
    <t>YEAR=</t>
  </si>
  <si>
    <t>START WEEK</t>
  </si>
  <si>
    <t>Class</t>
  </si>
  <si>
    <t>class</t>
  </si>
  <si>
    <t>Jobs over budget</t>
  </si>
  <si>
    <t>PROVISIONED INCOME</t>
  </si>
  <si>
    <t>PROVISIONED EXPENSES</t>
  </si>
  <si>
    <t>CLAIM DETAILS</t>
  </si>
  <si>
    <t>CLAIM DETAILS - MAINTENANCE</t>
  </si>
  <si>
    <t>ADJUST THE HEADER POSITIONS BEFORE/AFTER HIDING COLUMNS!</t>
  </si>
  <si>
    <t>HEADER!</t>
  </si>
  <si>
    <t>CLAIM DETAILS - OTHER EXPENSES</t>
  </si>
  <si>
    <t>LATE BANKING FROM PREVIOUS YEARS</t>
  </si>
  <si>
    <t>P</t>
  </si>
  <si>
    <t>BETTER THAN BUDGET</t>
  </si>
  <si>
    <t/>
  </si>
  <si>
    <t>Updated:</t>
  </si>
  <si>
    <t>PB</t>
  </si>
  <si>
    <t>DJB</t>
  </si>
  <si>
    <t>HIDE - Post bal calculation</t>
  </si>
  <si>
    <t>HIDE - Insurance</t>
  </si>
  <si>
    <t>HIDE - BWB Mooring</t>
  </si>
  <si>
    <t>HIDE - Licence</t>
  </si>
  <si>
    <t>HIDE - Casual mooring</t>
  </si>
  <si>
    <t>HIDE - Used weeks calculation</t>
  </si>
  <si>
    <t>HIDE - Scheduled weeks calculation</t>
  </si>
  <si>
    <t>HIDE - Used weeks calculation - week start date (Friday)</t>
  </si>
  <si>
    <t>DONATIONS</t>
  </si>
  <si>
    <t>UNPLANNED EXPENDITURE AND DONATIONS</t>
  </si>
  <si>
    <t>GIFTS &amp; DONATIONS</t>
  </si>
  <si>
    <t>Balance on jobs abandoned</t>
  </si>
  <si>
    <t>Budget</t>
  </si>
  <si>
    <t>Fix T1 before Web Issue</t>
  </si>
  <si>
    <t>Cheque / Deposit slip number</t>
  </si>
  <si>
    <r>
      <t xml:space="preserve">Net to be paid in / </t>
    </r>
    <r>
      <rPr>
        <b/>
        <sz val="6"/>
        <color indexed="10"/>
        <rFont val="Arial"/>
        <family val="2"/>
      </rPr>
      <t xml:space="preserve">out </t>
    </r>
  </si>
  <si>
    <r>
      <t xml:space="preserve">CREDITS / </t>
    </r>
    <r>
      <rPr>
        <sz val="6"/>
        <color indexed="10"/>
        <rFont val="Arial"/>
        <family val="2"/>
      </rPr>
      <t>DEBITS</t>
    </r>
    <r>
      <rPr>
        <sz val="6"/>
        <rFont val="Arial"/>
        <family val="2"/>
      </rPr>
      <t xml:space="preserve"> EXPECTED POST BALANCE</t>
    </r>
  </si>
  <si>
    <t>HIDE - Used week</t>
  </si>
  <si>
    <t>HIDE - Used weeks sumation</t>
  </si>
  <si>
    <t>HIDE - Already Used, scheduled week?</t>
  </si>
  <si>
    <t>CURRENT BALANCE AFTER ALL CHEQUES AND DEPOSITS HAVE CLEARED</t>
  </si>
  <si>
    <t>Bank Debits with no corresponding trip account</t>
  </si>
  <si>
    <t>Bank Credits with no corresponding trip account</t>
  </si>
  <si>
    <t>Cells coloured Yellow can be updated</t>
  </si>
  <si>
    <t>TRIP ACCOUNTS IN SCHEDULED WEEKS</t>
  </si>
  <si>
    <t>Date</t>
  </si>
  <si>
    <t>Who</t>
  </si>
  <si>
    <t>DEPOSIT SLIP NUMBER</t>
  </si>
  <si>
    <t>BALANCE IN BANK @</t>
  </si>
  <si>
    <t>TRIP ACCOUNTS FOR SCHEDULED WEEKS</t>
  </si>
  <si>
    <t>Cell E9 may be needed where (e.g.) someone has paid in an amount which can't be reconciled with a trip sheet.</t>
  </si>
  <si>
    <t>Cell E10 may be needed where a bank debit can't be reconciled with an existing trip sheet (unlikely).</t>
  </si>
  <si>
    <t>2 years ago</t>
  </si>
  <si>
    <t>Fuel rate in each year is sensitive to final &amp; initial fill up.</t>
  </si>
  <si>
    <t xml:space="preserve">KEY WORDS - USE IN "SUBMITTED BY:" &lt;Insurance&gt;, &lt;Licence&gt;, &lt;Mooring&gt;-use only for annual mooring charge </t>
  </si>
  <si>
    <t>Insurance</t>
  </si>
  <si>
    <t>Mooring</t>
  </si>
  <si>
    <t>Licence</t>
  </si>
  <si>
    <t>TRIP SHEET CREDITS / DEBITS EXPECTED (NOT IN  LAST BANK BALANCE)</t>
  </si>
  <si>
    <t>Y</t>
  </si>
  <si>
    <t>unscheduled</t>
  </si>
  <si>
    <t>Winter</t>
  </si>
  <si>
    <t>ADDITIONAL TRIPS AND OTHER ACCOUNTS</t>
  </si>
  <si>
    <t>ADDITIONAL TRIPS (&gt;1 IN A WEEK) AND EXPENSES CLAIMED SEPARATELY FROM A TRIP (EG. WORK W/E)</t>
  </si>
  <si>
    <t>Total</t>
  </si>
  <si>
    <t>Subscription</t>
  </si>
  <si>
    <t>.</t>
  </si>
  <si>
    <r>
      <t xml:space="preserve">REPLACEMENTS </t>
    </r>
    <r>
      <rPr>
        <b/>
        <sz val="6"/>
        <rFont val="Arial"/>
        <family val="2"/>
      </rPr>
      <t>(LOSS &amp; BREAKAGE)</t>
    </r>
  </si>
  <si>
    <t>(see below for details)</t>
  </si>
  <si>
    <t>Balance on jobs started &amp; not complete</t>
  </si>
  <si>
    <t>S</t>
  </si>
  <si>
    <t xml:space="preserve">WRITTEN-OFF </t>
  </si>
  <si>
    <t>FUEL</t>
  </si>
  <si>
    <t xml:space="preserve">UNPLANNED  </t>
  </si>
  <si>
    <t>Scheduled maintenance</t>
  </si>
  <si>
    <r>
      <t>Gifts &amp; donations</t>
    </r>
    <r>
      <rPr>
        <sz val="6"/>
        <color indexed="10"/>
        <rFont val="Arial"/>
        <family val="2"/>
      </rPr>
      <t xml:space="preserve"> </t>
    </r>
  </si>
  <si>
    <t>PAYMENT REFERENCE</t>
  </si>
  <si>
    <t>Waterways Recovery Group</t>
  </si>
  <si>
    <t>jobs started &amp; not complete</t>
  </si>
  <si>
    <t>Payment</t>
  </si>
  <si>
    <t>SUBSCRIPTIONS RECEIVED AND</t>
  </si>
  <si>
    <t>JF</t>
  </si>
  <si>
    <t>SB</t>
  </si>
  <si>
    <t>CJ DJ</t>
  </si>
  <si>
    <t>TM JM</t>
  </si>
  <si>
    <t>DRK JC</t>
  </si>
  <si>
    <t>DA HA</t>
  </si>
  <si>
    <t>TOTAL INCOME TO PROVISIONS</t>
  </si>
  <si>
    <t>TOTAL EXPENDITURE FROM PROVISIONS</t>
  </si>
  <si>
    <t>Hull FUND</t>
  </si>
  <si>
    <t>Jobs not started (no spend)</t>
  </si>
  <si>
    <t>Balance on jobs not done</t>
  </si>
  <si>
    <t>Jobs abandoned (no spend)</t>
  </si>
  <si>
    <t>PROVISIONS INTO / FROM LAST /NEXT YEAR</t>
  </si>
  <si>
    <t>BOAT USE</t>
  </si>
  <si>
    <t>DAYS USE</t>
  </si>
  <si>
    <t>Income:</t>
  </si>
  <si>
    <t>Payments:</t>
  </si>
  <si>
    <r>
      <t xml:space="preserve">CREDITS / </t>
    </r>
    <r>
      <rPr>
        <sz val="6"/>
        <color rgb="FFFF0000"/>
        <rFont val="Arial"/>
        <family val="2"/>
      </rPr>
      <t>DEBITS</t>
    </r>
    <r>
      <rPr>
        <sz val="6"/>
        <rFont val="Arial"/>
        <family val="2"/>
      </rPr>
      <t xml:space="preserve"> EXPECTED POST BALANCE</t>
    </r>
  </si>
  <si>
    <t>Special projects</t>
  </si>
  <si>
    <t>WEEKS USE</t>
  </si>
  <si>
    <t>Working w/e food</t>
  </si>
  <si>
    <t>Re-stock first aid kit as needed</t>
  </si>
  <si>
    <t>Clean boat for start of season</t>
  </si>
  <si>
    <t>An error message will appear below if the calculated balance in Summary D11 and bank balance in Summary L11 differ</t>
  </si>
  <si>
    <t xml:space="preserve">Emergencies &amp; Unplanned </t>
  </si>
  <si>
    <t>Income</t>
  </si>
  <si>
    <t>Actual</t>
  </si>
  <si>
    <t>Due</t>
  </si>
  <si>
    <t>Incme</t>
  </si>
  <si>
    <t>``</t>
  </si>
  <si>
    <t xml:space="preserve">Floating Fund last year was </t>
  </si>
  <si>
    <t>Budget aim was:</t>
  </si>
  <si>
    <t>&lt;10%</t>
  </si>
  <si>
    <t>SPECIAL PROJECT - Boiler</t>
  </si>
  <si>
    <t>13 out of 26 possible weeks last year</t>
  </si>
  <si>
    <t>AC</t>
  </si>
  <si>
    <t>Permanent cover for boiler chimney</t>
  </si>
  <si>
    <t xml:space="preserve">Lights replacement/upgrade </t>
  </si>
  <si>
    <t>Reposition lugs on rear steps</t>
  </si>
  <si>
    <t>PF</t>
  </si>
  <si>
    <t>RCR</t>
  </si>
  <si>
    <r>
      <t xml:space="preserve">MOORING, LICENCE , INSURANCE &amp; </t>
    </r>
    <r>
      <rPr>
        <b/>
        <sz val="6"/>
        <color rgb="FFFF0000"/>
        <rFont val="Arial"/>
        <family val="2"/>
      </rPr>
      <t>RCR</t>
    </r>
  </si>
  <si>
    <t>HIDE - RCR</t>
  </si>
  <si>
    <t>Moorings, Insurance, RCR, C&amp;RT licence</t>
  </si>
  <si>
    <t>Clean the roof</t>
  </si>
  <si>
    <t xml:space="preserve">Install wire retainer on shelf to stop cornflake box avalanche. </t>
  </si>
  <si>
    <t>Central wardrobe door Replace catch &amp; make door fit</t>
  </si>
  <si>
    <t>Woodwork in Boiler cabinet to support/protect fan heater</t>
  </si>
  <si>
    <t>Arrange hull survey before insurance renewal on 14/12/24.</t>
  </si>
  <si>
    <t>Arrange re-blacking the hull (one coat epoxy)</t>
  </si>
  <si>
    <t>Arrange repair of gunnel under rear boards.</t>
  </si>
  <si>
    <t>Arrange Improvent of the balance of the rudder</t>
  </si>
  <si>
    <t>Repair diesel heater.  Add to checklist</t>
  </si>
  <si>
    <t>Replace rear loo.</t>
  </si>
  <si>
    <t>Clean the bilge (engine chamber almost full)</t>
  </si>
  <si>
    <t>Replace kitchen water pump and associated assembly?</t>
  </si>
  <si>
    <t>Ease front door.</t>
  </si>
  <si>
    <t>Check alignment of front fender and adjust as necessary,</t>
  </si>
  <si>
    <t>Treat wooden gang plank to allow outside storage.</t>
  </si>
  <si>
    <t>Improve front headlight</t>
  </si>
  <si>
    <t>Port Side Heating joint replacement (blew off at Christmas).</t>
  </si>
  <si>
    <t>Investigate leaks from engine and CH header tanks later in season.</t>
  </si>
  <si>
    <t>Stiffness of gear change, a feature or a fault?</t>
  </si>
  <si>
    <t>De-winterise</t>
  </si>
  <si>
    <t>DRK</t>
  </si>
  <si>
    <t>Touch up paint on gunnels (PB to supply paint)</t>
  </si>
  <si>
    <t>Replace front rope</t>
  </si>
  <si>
    <t>auto</t>
  </si>
  <si>
    <t>Antifreeze</t>
  </si>
  <si>
    <t>Atlass</t>
  </si>
  <si>
    <t>online</t>
  </si>
  <si>
    <t>James</t>
  </si>
  <si>
    <t>Martins</t>
  </si>
  <si>
    <t>Brough</t>
  </si>
  <si>
    <t>New Gaskets</t>
  </si>
  <si>
    <t>Replacemenr valve cap</t>
  </si>
  <si>
    <t>25-09.24</t>
  </si>
  <si>
    <t xml:space="preserve">Replacement pump for shower tray </t>
  </si>
  <si>
    <t>RCR callout rescue fee 26/07/24</t>
  </si>
  <si>
    <t>Frying pan</t>
  </si>
  <si>
    <t>Anti-vandal lock key</t>
  </si>
  <si>
    <t>Float switch for shower pump out</t>
  </si>
  <si>
    <t>River Canal Rescue engine repair</t>
  </si>
  <si>
    <t>onlinr</t>
  </si>
  <si>
    <t>DB</t>
  </si>
  <si>
    <t>auot</t>
  </si>
  <si>
    <t>Advance sub for 2025</t>
  </si>
  <si>
    <t>DRK-8</t>
  </si>
  <si>
    <t>CYLINDER HEAD GASKET REPLACEMENT</t>
  </si>
  <si>
    <t>RCR CALLOUT AND REPAIR</t>
  </si>
  <si>
    <t>OTHER</t>
  </si>
  <si>
    <t>Refurbisment of 4-diesel injectors for RCR repair</t>
  </si>
  <si>
    <t>IONOS sub for OLYMPIC.ME.UK, 29/1/24 - 29/1/26</t>
  </si>
  <si>
    <t>C`</t>
  </si>
  <si>
    <t>Residue</t>
  </si>
  <si>
    <t>Provision</t>
  </si>
  <si>
    <t>Winter Mooring Refund</t>
  </si>
  <si>
    <t>PROVISIONED PAYMENTS</t>
  </si>
  <si>
    <t>Danny work + Haul to Hard standing</t>
  </si>
  <si>
    <r>
      <t xml:space="preserve">REPLACEMENTS </t>
    </r>
    <r>
      <rPr>
        <b/>
        <sz val="7"/>
        <color theme="0"/>
        <rFont val="Arial"/>
        <family val="2"/>
      </rPr>
      <t>Items highlighting significant incidents</t>
    </r>
  </si>
  <si>
    <t>(P)rovision</t>
  </si>
  <si>
    <t xml:space="preserve">Budget = 9 shares @ £500 </t>
  </si>
  <si>
    <t>9 Paricipant supplements @ £350 = £3150</t>
  </si>
  <si>
    <t>Swanley: Haul out (and return)</t>
  </si>
  <si>
    <t>Replacement back boards</t>
  </si>
  <si>
    <t>RESULTING FROM STERN GULLEY WORK</t>
  </si>
  <si>
    <t>Note:  this was achieved with a particpant cash injection of £3150</t>
  </si>
  <si>
    <t>(details below)</t>
  </si>
  <si>
    <t>Overflow CH exit pipes at front and rear not discharging outboard.</t>
  </si>
  <si>
    <t>Implement Phase III Option for engine to power Central Heating.</t>
  </si>
  <si>
    <t>DRK-9</t>
  </si>
</sst>
</file>

<file path=xl/styles.xml><?xml version="1.0" encoding="utf-8"?>
<styleSheet xmlns="http://schemas.openxmlformats.org/spreadsheetml/2006/main">
  <numFmts count="15">
    <numFmt numFmtId="6" formatCode="&quot;£&quot;#,##0;[Red]\-&quot;£&quot;#,##0"/>
    <numFmt numFmtId="8" formatCode="&quot;£&quot;#,##0.00;[Red]\-&quot;£&quot;#,##0.00"/>
    <numFmt numFmtId="164" formatCode="\$#,##0\ ;\(\$#,##0\)"/>
    <numFmt numFmtId="165" formatCode="\$#,##0.00\ ;\(\$#,##0.00\)"/>
    <numFmt numFmtId="166" formatCode="m/d/yy"/>
    <numFmt numFmtId="167" formatCode="d\-mmm\-yy"/>
    <numFmt numFmtId="168" formatCode="&quot;£&quot;#,##0.00"/>
    <numFmt numFmtId="169" formatCode="&quot;£&quot;#,##0"/>
    <numFmt numFmtId="170" formatCode="&quot;£&quot;#,##0.00;[Red]&quot;£&quot;#,##0.00"/>
    <numFmt numFmtId="171" formatCode="mmmm\ d\,\ yyyy"/>
    <numFmt numFmtId="172" formatCode="&quot;£&quot;#,##0.000000"/>
    <numFmt numFmtId="173" formatCode="0.00000000E+00"/>
    <numFmt numFmtId="174" formatCode="#,##0;[Red]#,##0"/>
    <numFmt numFmtId="175" formatCode="#,##0.00;[Red]#,##0.00"/>
    <numFmt numFmtId="176" formatCode="\$#,##0\ ;&quot;($&quot;#,##0\)"/>
  </numFmts>
  <fonts count="67">
    <font>
      <sz val="6"/>
      <name val="Arial"/>
      <family val="2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b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i/>
      <sz val="6"/>
      <name val="Arial"/>
      <family val="2"/>
    </font>
    <font>
      <b/>
      <sz val="24"/>
      <name val="Arial"/>
      <family val="2"/>
    </font>
    <font>
      <b/>
      <i/>
      <sz val="16"/>
      <name val="Arial"/>
      <family val="2"/>
    </font>
    <font>
      <sz val="18"/>
      <name val="Arial"/>
      <family val="2"/>
    </font>
    <font>
      <sz val="6"/>
      <color indexed="10"/>
      <name val="Arial"/>
      <family val="2"/>
    </font>
    <font>
      <b/>
      <sz val="18"/>
      <name val="Arial"/>
      <family val="2"/>
    </font>
    <font>
      <sz val="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i/>
      <sz val="30"/>
      <name val="Arial"/>
      <family val="2"/>
    </font>
    <font>
      <i/>
      <sz val="28"/>
      <name val="Arial"/>
      <family val="2"/>
    </font>
    <font>
      <b/>
      <sz val="22"/>
      <name val="Arial"/>
      <family val="2"/>
    </font>
    <font>
      <i/>
      <sz val="22"/>
      <name val="Arial"/>
      <family val="2"/>
    </font>
    <font>
      <b/>
      <i/>
      <sz val="8"/>
      <name val="Arial"/>
      <family val="2"/>
    </font>
    <font>
      <sz val="6"/>
      <color indexed="17"/>
      <name val="Arial"/>
      <family val="2"/>
    </font>
    <font>
      <b/>
      <sz val="6"/>
      <color indexed="10"/>
      <name val="Arial"/>
      <family val="2"/>
    </font>
    <font>
      <b/>
      <sz val="16"/>
      <name val="Arial"/>
      <family val="2"/>
    </font>
    <font>
      <b/>
      <sz val="20"/>
      <color indexed="10"/>
      <name val="Arial"/>
      <family val="2"/>
    </font>
    <font>
      <sz val="6"/>
      <color indexed="12"/>
      <name val="Arial"/>
      <family val="2"/>
    </font>
    <font>
      <sz val="10"/>
      <color indexed="12"/>
      <name val="Arial"/>
      <family val="2"/>
    </font>
    <font>
      <b/>
      <sz val="6"/>
      <color indexed="12"/>
      <name val="Arial"/>
      <family val="2"/>
    </font>
    <font>
      <b/>
      <sz val="20"/>
      <color indexed="24"/>
      <name val="Times New Roman"/>
      <family val="1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b/>
      <u/>
      <sz val="20"/>
      <color indexed="12"/>
      <name val="Times New Roman"/>
      <family val="1"/>
    </font>
    <font>
      <b/>
      <sz val="9"/>
      <name val="Arial"/>
      <family val="2"/>
    </font>
    <font>
      <sz val="12"/>
      <color indexed="24"/>
      <name val="Arial"/>
      <family val="2"/>
    </font>
    <font>
      <sz val="6"/>
      <color indexed="8"/>
      <name val="Arial"/>
      <family val="2"/>
    </font>
    <font>
      <b/>
      <sz val="15"/>
      <name val="Arial"/>
      <family val="2"/>
    </font>
    <font>
      <sz val="6"/>
      <color theme="1"/>
      <name val="Arial"/>
      <family val="2"/>
    </font>
    <font>
      <strike/>
      <sz val="6"/>
      <name val="Arial"/>
      <family val="2"/>
    </font>
    <font>
      <sz val="6"/>
      <color theme="0"/>
      <name val="Arial"/>
      <family val="2"/>
    </font>
    <font>
      <b/>
      <sz val="24"/>
      <color indexed="10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i/>
      <sz val="18"/>
      <name val="Arial"/>
      <family val="2"/>
    </font>
    <font>
      <sz val="6"/>
      <color rgb="FFFF0000"/>
      <name val="Arial"/>
      <family val="2"/>
    </font>
    <font>
      <b/>
      <sz val="20"/>
      <color indexed="24"/>
      <name val="Times New Roman"/>
      <family val="1"/>
    </font>
    <font>
      <b/>
      <sz val="20"/>
      <color rgb="FF8080FF"/>
      <name val="Times New Roman"/>
      <family val="1"/>
    </font>
    <font>
      <sz val="14"/>
      <color rgb="FF8080FF"/>
      <name val="Times New Roman"/>
      <family val="1"/>
      <charset val="1"/>
    </font>
    <font>
      <b/>
      <i/>
      <sz val="12"/>
      <color rgb="FF8080FF"/>
      <name val="Times New Roman"/>
      <family val="1"/>
      <charset val="1"/>
    </font>
    <font>
      <sz val="12"/>
      <color rgb="FF8080FF"/>
      <name val="Arial"/>
      <family val="2"/>
      <charset val="1"/>
    </font>
    <font>
      <b/>
      <sz val="12"/>
      <name val="Arial"/>
      <family val="2"/>
    </font>
    <font>
      <sz val="22"/>
      <name val="Arial"/>
      <family val="2"/>
    </font>
    <font>
      <b/>
      <sz val="6"/>
      <color rgb="FFFF0000"/>
      <name val="Arial"/>
      <family val="2"/>
    </font>
    <font>
      <b/>
      <sz val="8"/>
      <color rgb="FFFF0000"/>
      <name val="Symbol"/>
      <family val="1"/>
      <charset val="2"/>
    </font>
    <font>
      <sz val="8"/>
      <color theme="6" tint="-0.249977111117893"/>
      <name val="Symbol"/>
      <family val="1"/>
      <charset val="2"/>
    </font>
    <font>
      <b/>
      <sz val="8"/>
      <color theme="0"/>
      <name val="Arial"/>
      <family val="2"/>
    </font>
    <font>
      <b/>
      <sz val="7"/>
      <color theme="0"/>
      <name val="Arial"/>
      <family val="2"/>
    </font>
    <font>
      <i/>
      <sz val="8"/>
      <color theme="0"/>
      <name val="Arial"/>
      <family val="2"/>
    </font>
    <font>
      <b/>
      <sz val="6"/>
      <color theme="0"/>
      <name val="Arial"/>
      <family val="2"/>
    </font>
    <font>
      <b/>
      <i/>
      <sz val="6"/>
      <name val="Arial"/>
      <family val="2"/>
    </font>
    <font>
      <sz val="8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9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</borders>
  <cellStyleXfs count="43">
    <xf numFmtId="15" fontId="0" fillId="0" borderId="0"/>
    <xf numFmtId="3" fontId="4" fillId="0" borderId="0" applyFont="0" applyFill="0" applyBorder="0" applyAlignment="0" applyProtection="0"/>
    <xf numFmtId="3" fontId="40" fillId="0" borderId="0" applyFont="0" applyFill="0" applyBorder="0" applyAlignment="0" applyProtection="0"/>
    <xf numFmtId="3" fontId="3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5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0" fillId="0" borderId="0" applyFont="0" applyFill="0" applyBorder="0" applyAlignment="0" applyProtection="0"/>
    <xf numFmtId="2" fontId="3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35" fillId="0" borderId="0"/>
    <xf numFmtId="0" fontId="4" fillId="0" borderId="1" applyNumberFormat="0" applyFont="0" applyFill="0" applyAlignment="0" applyProtection="0"/>
    <xf numFmtId="0" fontId="40" fillId="0" borderId="1" applyNumberFormat="0" applyFont="0" applyFill="0" applyAlignment="0" applyProtection="0"/>
    <xf numFmtId="0" fontId="35" fillId="0" borderId="1" applyNumberFormat="0" applyFont="0" applyFill="0" applyAlignment="0" applyProtection="0"/>
    <xf numFmtId="0" fontId="51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2" fillId="0" borderId="0"/>
    <xf numFmtId="3" fontId="52" fillId="0" borderId="0" applyBorder="0" applyProtection="0"/>
    <xf numFmtId="3" fontId="52" fillId="0" borderId="0" applyBorder="0" applyProtection="0"/>
    <xf numFmtId="176" fontId="52" fillId="0" borderId="0" applyBorder="0" applyProtection="0"/>
    <xf numFmtId="176" fontId="52" fillId="0" borderId="0" applyBorder="0" applyProtection="0"/>
    <xf numFmtId="0" fontId="52" fillId="0" borderId="0" applyBorder="0" applyProtection="0"/>
    <xf numFmtId="0" fontId="52" fillId="0" borderId="0" applyBorder="0" applyProtection="0"/>
    <xf numFmtId="2" fontId="52" fillId="0" borderId="0" applyBorder="0" applyProtection="0"/>
    <xf numFmtId="2" fontId="52" fillId="0" borderId="0" applyBorder="0" applyProtection="0"/>
    <xf numFmtId="0" fontId="53" fillId="0" borderId="0" applyBorder="0" applyProtection="0"/>
    <xf numFmtId="0" fontId="54" fillId="0" borderId="0" applyBorder="0" applyProtection="0"/>
    <xf numFmtId="0" fontId="55" fillId="0" borderId="0"/>
    <xf numFmtId="0" fontId="55" fillId="0" borderId="0"/>
    <xf numFmtId="0" fontId="52" fillId="0" borderId="1" applyProtection="0"/>
  </cellStyleXfs>
  <cellXfs count="812">
    <xf numFmtId="15" fontId="0" fillId="0" borderId="0" xfId="0"/>
    <xf numFmtId="15" fontId="4" fillId="0" borderId="0" xfId="0" applyFont="1"/>
    <xf numFmtId="2" fontId="4" fillId="0" borderId="0" xfId="0" applyNumberFormat="1" applyFont="1"/>
    <xf numFmtId="15" fontId="4" fillId="0" borderId="2" xfId="0" applyFont="1" applyBorder="1"/>
    <xf numFmtId="15" fontId="4" fillId="0" borderId="3" xfId="0" applyFont="1" applyBorder="1"/>
    <xf numFmtId="15" fontId="4" fillId="0" borderId="4" xfId="0" applyFont="1" applyBorder="1"/>
    <xf numFmtId="15" fontId="4" fillId="0" borderId="5" xfId="0" applyFont="1" applyBorder="1"/>
    <xf numFmtId="15" fontId="4" fillId="0" borderId="6" xfId="0" applyFont="1" applyBorder="1"/>
    <xf numFmtId="15" fontId="4" fillId="0" borderId="7" xfId="0" applyFont="1" applyBorder="1"/>
    <xf numFmtId="15" fontId="4" fillId="0" borderId="8" xfId="0" applyFont="1" applyBorder="1"/>
    <xf numFmtId="0" fontId="4" fillId="0" borderId="0" xfId="0" applyNumberFormat="1" applyFont="1"/>
    <xf numFmtId="15" fontId="3" fillId="0" borderId="7" xfId="0" applyFont="1" applyBorder="1" applyAlignment="1">
      <alignment horizontal="center"/>
    </xf>
    <xf numFmtId="15" fontId="4" fillId="0" borderId="7" xfId="0" applyFont="1" applyBorder="1" applyAlignment="1">
      <alignment horizontal="center"/>
    </xf>
    <xf numFmtId="15" fontId="4" fillId="0" borderId="9" xfId="0" applyFont="1" applyBorder="1" applyAlignment="1">
      <alignment horizontal="center"/>
    </xf>
    <xf numFmtId="15" fontId="4" fillId="0" borderId="0" xfId="0" applyFont="1" applyAlignment="1">
      <alignment horizontal="center"/>
    </xf>
    <xf numFmtId="15" fontId="4" fillId="0" borderId="8" xfId="0" applyFont="1" applyBorder="1" applyAlignment="1">
      <alignment horizontal="center"/>
    </xf>
    <xf numFmtId="15" fontId="4" fillId="0" borderId="9" xfId="0" applyFont="1" applyBorder="1"/>
    <xf numFmtId="166" fontId="4" fillId="0" borderId="9" xfId="0" applyNumberFormat="1" applyFont="1" applyBorder="1" applyAlignment="1">
      <alignment horizontal="center"/>
    </xf>
    <xf numFmtId="15" fontId="4" fillId="0" borderId="3" xfId="0" applyFont="1" applyBorder="1" applyAlignment="1">
      <alignment horizontal="center"/>
    </xf>
    <xf numFmtId="15" fontId="4" fillId="0" borderId="10" xfId="0" applyFont="1" applyBorder="1"/>
    <xf numFmtId="15" fontId="4" fillId="0" borderId="2" xfId="0" applyFont="1" applyBorder="1" applyAlignment="1">
      <alignment horizontal="center"/>
    </xf>
    <xf numFmtId="15" fontId="4" fillId="0" borderId="11" xfId="0" applyFont="1" applyBorder="1"/>
    <xf numFmtId="166" fontId="4" fillId="0" borderId="10" xfId="0" applyNumberFormat="1" applyFont="1" applyBorder="1"/>
    <xf numFmtId="166" fontId="4" fillId="0" borderId="3" xfId="0" applyNumberFormat="1" applyFont="1" applyBorder="1" applyAlignment="1">
      <alignment horizontal="center"/>
    </xf>
    <xf numFmtId="15" fontId="15" fillId="0" borderId="0" xfId="0" applyFont="1"/>
    <xf numFmtId="15" fontId="4" fillId="0" borderId="13" xfId="0" applyFont="1" applyBorder="1"/>
    <xf numFmtId="168" fontId="4" fillId="0" borderId="14" xfId="0" applyNumberFormat="1" applyFont="1" applyBorder="1"/>
    <xf numFmtId="168" fontId="4" fillId="0" borderId="0" xfId="0" applyNumberFormat="1" applyFont="1"/>
    <xf numFmtId="168" fontId="5" fillId="0" borderId="0" xfId="0" applyNumberFormat="1" applyFont="1"/>
    <xf numFmtId="168" fontId="4" fillId="0" borderId="2" xfId="0" applyNumberFormat="1" applyFont="1" applyBorder="1"/>
    <xf numFmtId="168" fontId="6" fillId="0" borderId="0" xfId="0" applyNumberFormat="1" applyFont="1"/>
    <xf numFmtId="168" fontId="7" fillId="0" borderId="0" xfId="0" applyNumberFormat="1" applyFont="1"/>
    <xf numFmtId="168" fontId="4" fillId="0" borderId="8" xfId="0" applyNumberFormat="1" applyFont="1" applyBorder="1"/>
    <xf numFmtId="168" fontId="4" fillId="0" borderId="0" xfId="0" applyNumberFormat="1" applyFont="1" applyAlignment="1">
      <alignment horizontal="left"/>
    </xf>
    <xf numFmtId="168" fontId="9" fillId="0" borderId="0" xfId="0" applyNumberFormat="1" applyFont="1"/>
    <xf numFmtId="168" fontId="6" fillId="0" borderId="0" xfId="0" applyNumberFormat="1" applyFont="1" applyAlignment="1">
      <alignment horizontal="left"/>
    </xf>
    <xf numFmtId="168" fontId="4" fillId="0" borderId="15" xfId="0" applyNumberFormat="1" applyFont="1" applyBorder="1"/>
    <xf numFmtId="168" fontId="4" fillId="0" borderId="16" xfId="0" applyNumberFormat="1" applyFont="1" applyBorder="1"/>
    <xf numFmtId="168" fontId="4" fillId="0" borderId="17" xfId="0" applyNumberFormat="1" applyFont="1" applyBorder="1"/>
    <xf numFmtId="168" fontId="8" fillId="0" borderId="0" xfId="0" applyNumberFormat="1" applyFont="1"/>
    <xf numFmtId="168" fontId="4" fillId="0" borderId="18" xfId="0" applyNumberFormat="1" applyFont="1" applyBorder="1"/>
    <xf numFmtId="168" fontId="4" fillId="0" borderId="11" xfId="0" applyNumberFormat="1" applyFont="1" applyBorder="1"/>
    <xf numFmtId="170" fontId="4" fillId="0" borderId="19" xfId="0" applyNumberFormat="1" applyFont="1" applyBorder="1"/>
    <xf numFmtId="170" fontId="4" fillId="0" borderId="0" xfId="0" applyNumberFormat="1" applyFont="1"/>
    <xf numFmtId="170" fontId="4" fillId="0" borderId="8" xfId="0" applyNumberFormat="1" applyFont="1" applyBorder="1"/>
    <xf numFmtId="170" fontId="4" fillId="0" borderId="20" xfId="0" applyNumberFormat="1" applyFont="1" applyBorder="1"/>
    <xf numFmtId="170" fontId="4" fillId="0" borderId="14" xfId="0" applyNumberFormat="1" applyFont="1" applyBorder="1"/>
    <xf numFmtId="170" fontId="4" fillId="0" borderId="21" xfId="0" applyNumberFormat="1" applyFont="1" applyBorder="1"/>
    <xf numFmtId="170" fontId="4" fillId="0" borderId="1" xfId="0" applyNumberFormat="1" applyFont="1" applyBorder="1"/>
    <xf numFmtId="170" fontId="4" fillId="0" borderId="22" xfId="0" applyNumberFormat="1" applyFont="1" applyBorder="1"/>
    <xf numFmtId="170" fontId="4" fillId="0" borderId="6" xfId="0" applyNumberFormat="1" applyFont="1" applyBorder="1"/>
    <xf numFmtId="170" fontId="4" fillId="0" borderId="11" xfId="0" applyNumberFormat="1" applyFont="1" applyBorder="1"/>
    <xf numFmtId="170" fontId="4" fillId="0" borderId="23" xfId="0" applyNumberFormat="1" applyFont="1" applyBorder="1"/>
    <xf numFmtId="166" fontId="4" fillId="0" borderId="24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170" fontId="4" fillId="0" borderId="5" xfId="0" applyNumberFormat="1" applyFont="1" applyBorder="1"/>
    <xf numFmtId="170" fontId="4" fillId="0" borderId="26" xfId="0" applyNumberFormat="1" applyFont="1" applyBorder="1"/>
    <xf numFmtId="15" fontId="0" fillId="0" borderId="0" xfId="0" applyAlignment="1">
      <alignment horizontal="center"/>
    </xf>
    <xf numFmtId="15" fontId="4" fillId="0" borderId="4" xfId="0" applyFont="1" applyBorder="1" applyAlignment="1">
      <alignment horizontal="center"/>
    </xf>
    <xf numFmtId="15" fontId="4" fillId="0" borderId="27" xfId="0" applyFont="1" applyBorder="1"/>
    <xf numFmtId="15" fontId="4" fillId="0" borderId="18" xfId="0" applyFont="1" applyBorder="1"/>
    <xf numFmtId="15" fontId="3" fillId="0" borderId="28" xfId="0" applyFont="1" applyBorder="1" applyAlignment="1">
      <alignment horizontal="center"/>
    </xf>
    <xf numFmtId="170" fontId="4" fillId="0" borderId="24" xfId="0" applyNumberFormat="1" applyFont="1" applyBorder="1"/>
    <xf numFmtId="170" fontId="4" fillId="0" borderId="29" xfId="0" applyNumberFormat="1" applyFont="1" applyBorder="1"/>
    <xf numFmtId="170" fontId="4" fillId="0" borderId="30" xfId="0" applyNumberFormat="1" applyFont="1" applyBorder="1"/>
    <xf numFmtId="170" fontId="4" fillId="0" borderId="10" xfId="0" applyNumberFormat="1" applyFont="1" applyBorder="1"/>
    <xf numFmtId="8" fontId="4" fillId="0" borderId="2" xfId="0" applyNumberFormat="1" applyFont="1" applyBorder="1"/>
    <xf numFmtId="8" fontId="4" fillId="0" borderId="0" xfId="0" applyNumberFormat="1" applyFont="1"/>
    <xf numFmtId="15" fontId="4" fillId="0" borderId="31" xfId="0" applyFont="1" applyBorder="1"/>
    <xf numFmtId="15" fontId="4" fillId="0" borderId="32" xfId="0" applyFont="1" applyBorder="1"/>
    <xf numFmtId="170" fontId="4" fillId="0" borderId="33" xfId="0" applyNumberFormat="1" applyFont="1" applyBorder="1"/>
    <xf numFmtId="170" fontId="4" fillId="0" borderId="34" xfId="0" applyNumberFormat="1" applyFont="1" applyBorder="1"/>
    <xf numFmtId="170" fontId="4" fillId="0" borderId="35" xfId="0" applyNumberFormat="1" applyFont="1" applyBorder="1"/>
    <xf numFmtId="170" fontId="4" fillId="0" borderId="36" xfId="0" applyNumberFormat="1" applyFont="1" applyBorder="1"/>
    <xf numFmtId="170" fontId="4" fillId="0" borderId="37" xfId="0" applyNumberFormat="1" applyFont="1" applyBorder="1"/>
    <xf numFmtId="170" fontId="4" fillId="0" borderId="38" xfId="0" applyNumberFormat="1" applyFont="1" applyBorder="1"/>
    <xf numFmtId="167" fontId="4" fillId="0" borderId="10" xfId="0" applyNumberFormat="1" applyFont="1" applyBorder="1" applyAlignment="1">
      <alignment horizontal="center"/>
    </xf>
    <xf numFmtId="15" fontId="4" fillId="0" borderId="7" xfId="0" applyFont="1" applyBorder="1" applyAlignment="1">
      <alignment horizontal="left"/>
    </xf>
    <xf numFmtId="167" fontId="4" fillId="0" borderId="24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70" fontId="4" fillId="0" borderId="39" xfId="0" applyNumberFormat="1" applyFont="1" applyBorder="1"/>
    <xf numFmtId="170" fontId="7" fillId="0" borderId="40" xfId="0" applyNumberFormat="1" applyFont="1" applyBorder="1"/>
    <xf numFmtId="170" fontId="7" fillId="0" borderId="41" xfId="0" applyNumberFormat="1" applyFont="1" applyBorder="1"/>
    <xf numFmtId="170" fontId="3" fillId="0" borderId="6" xfId="0" applyNumberFormat="1" applyFont="1" applyBorder="1" applyAlignment="1">
      <alignment horizontal="center"/>
    </xf>
    <xf numFmtId="170" fontId="4" fillId="0" borderId="42" xfId="0" applyNumberFormat="1" applyFont="1" applyBorder="1"/>
    <xf numFmtId="1" fontId="4" fillId="0" borderId="43" xfId="0" applyNumberFormat="1" applyFont="1" applyBorder="1" applyAlignment="1">
      <alignment horizontal="right"/>
    </xf>
    <xf numFmtId="1" fontId="4" fillId="0" borderId="0" xfId="0" applyNumberFormat="1" applyFont="1"/>
    <xf numFmtId="1" fontId="4" fillId="0" borderId="31" xfId="0" applyNumberFormat="1" applyFont="1" applyBorder="1"/>
    <xf numFmtId="170" fontId="4" fillId="0" borderId="45" xfId="0" applyNumberFormat="1" applyFont="1" applyBorder="1"/>
    <xf numFmtId="170" fontId="4" fillId="0" borderId="46" xfId="0" applyNumberFormat="1" applyFont="1" applyBorder="1"/>
    <xf numFmtId="170" fontId="4" fillId="0" borderId="47" xfId="0" applyNumberFormat="1" applyFont="1" applyBorder="1"/>
    <xf numFmtId="170" fontId="4" fillId="0" borderId="48" xfId="0" applyNumberFormat="1" applyFont="1" applyBorder="1"/>
    <xf numFmtId="1" fontId="4" fillId="0" borderId="6" xfId="0" applyNumberFormat="1" applyFont="1" applyBorder="1"/>
    <xf numFmtId="1" fontId="4" fillId="0" borderId="10" xfId="0" applyNumberFormat="1" applyFont="1" applyBorder="1"/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/>
    <xf numFmtId="1" fontId="4" fillId="0" borderId="49" xfId="0" applyNumberFormat="1" applyFont="1" applyBorder="1"/>
    <xf numFmtId="1" fontId="4" fillId="0" borderId="31" xfId="0" applyNumberFormat="1" applyFont="1" applyBorder="1" applyAlignment="1">
      <alignment horizontal="center"/>
    </xf>
    <xf numFmtId="1" fontId="4" fillId="0" borderId="32" xfId="0" applyNumberFormat="1" applyFont="1" applyBorder="1"/>
    <xf numFmtId="170" fontId="4" fillId="0" borderId="50" xfId="0" applyNumberFormat="1" applyFont="1" applyBorder="1"/>
    <xf numFmtId="170" fontId="4" fillId="0" borderId="51" xfId="0" applyNumberFormat="1" applyFont="1" applyBorder="1"/>
    <xf numFmtId="170" fontId="4" fillId="0" borderId="52" xfId="0" applyNumberFormat="1" applyFont="1" applyBorder="1"/>
    <xf numFmtId="170" fontId="3" fillId="0" borderId="6" xfId="0" applyNumberFormat="1" applyFont="1" applyBorder="1"/>
    <xf numFmtId="8" fontId="4" fillId="0" borderId="24" xfId="0" applyNumberFormat="1" applyFont="1" applyBorder="1"/>
    <xf numFmtId="8" fontId="4" fillId="0" borderId="10" xfId="0" applyNumberFormat="1" applyFont="1" applyBorder="1"/>
    <xf numFmtId="8" fontId="4" fillId="0" borderId="8" xfId="0" applyNumberFormat="1" applyFont="1" applyBorder="1"/>
    <xf numFmtId="170" fontId="4" fillId="0" borderId="53" xfId="0" applyNumberFormat="1" applyFont="1" applyBorder="1"/>
    <xf numFmtId="15" fontId="4" fillId="0" borderId="0" xfId="0" applyFont="1" applyAlignment="1">
      <alignment wrapText="1"/>
    </xf>
    <xf numFmtId="15" fontId="0" fillId="0" borderId="0" xfId="0" applyAlignment="1">
      <alignment wrapText="1"/>
    </xf>
    <xf numFmtId="15" fontId="3" fillId="0" borderId="7" xfId="0" applyFont="1" applyBorder="1" applyAlignment="1">
      <alignment horizontal="center" wrapText="1"/>
    </xf>
    <xf numFmtId="170" fontId="4" fillId="0" borderId="54" xfId="0" applyNumberFormat="1" applyFont="1" applyBorder="1"/>
    <xf numFmtId="170" fontId="3" fillId="0" borderId="55" xfId="0" applyNumberFormat="1" applyFont="1" applyBorder="1" applyAlignment="1">
      <alignment horizontal="left" wrapText="1"/>
    </xf>
    <xf numFmtId="15" fontId="4" fillId="0" borderId="2" xfId="0" applyFont="1" applyBorder="1" applyAlignment="1">
      <alignment horizontal="left" wrapText="1"/>
    </xf>
    <xf numFmtId="170" fontId="4" fillId="0" borderId="55" xfId="0" applyNumberFormat="1" applyFont="1" applyBorder="1" applyAlignment="1">
      <alignment horizontal="left" wrapText="1"/>
    </xf>
    <xf numFmtId="15" fontId="0" fillId="0" borderId="0" xfId="0" applyAlignment="1">
      <alignment horizontal="left"/>
    </xf>
    <xf numFmtId="15" fontId="16" fillId="0" borderId="0" xfId="0" applyFont="1"/>
    <xf numFmtId="170" fontId="4" fillId="0" borderId="56" xfId="0" applyNumberFormat="1" applyFont="1" applyBorder="1"/>
    <xf numFmtId="170" fontId="3" fillId="0" borderId="57" xfId="0" applyNumberFormat="1" applyFont="1" applyBorder="1" applyAlignment="1">
      <alignment horizontal="left" wrapText="1"/>
    </xf>
    <xf numFmtId="15" fontId="4" fillId="0" borderId="52" xfId="0" applyFont="1" applyBorder="1"/>
    <xf numFmtId="15" fontId="4" fillId="0" borderId="58" xfId="0" applyFont="1" applyBorder="1" applyAlignment="1">
      <alignment horizontal="center"/>
    </xf>
    <xf numFmtId="8" fontId="4" fillId="0" borderId="61" xfId="0" applyNumberFormat="1" applyFont="1" applyBorder="1"/>
    <xf numFmtId="8" fontId="4" fillId="0" borderId="22" xfId="0" applyNumberFormat="1" applyFont="1" applyBorder="1"/>
    <xf numFmtId="8" fontId="4" fillId="0" borderId="11" xfId="0" applyNumberFormat="1" applyFont="1" applyBorder="1"/>
    <xf numFmtId="8" fontId="3" fillId="0" borderId="62" xfId="0" applyNumberFormat="1" applyFont="1" applyBorder="1" applyAlignment="1">
      <alignment horizontal="left"/>
    </xf>
    <xf numFmtId="8" fontId="4" fillId="0" borderId="12" xfId="0" applyNumberFormat="1" applyFont="1" applyBorder="1"/>
    <xf numFmtId="15" fontId="4" fillId="0" borderId="60" xfId="0" applyFont="1" applyBorder="1" applyAlignment="1">
      <alignment horizontal="center"/>
    </xf>
    <xf numFmtId="8" fontId="4" fillId="0" borderId="14" xfId="0" applyNumberFormat="1" applyFont="1" applyBorder="1"/>
    <xf numFmtId="15" fontId="17" fillId="0" borderId="0" xfId="0" applyFont="1"/>
    <xf numFmtId="8" fontId="4" fillId="0" borderId="5" xfId="0" applyNumberFormat="1" applyFont="1" applyBorder="1"/>
    <xf numFmtId="8" fontId="4" fillId="0" borderId="6" xfId="0" applyNumberFormat="1" applyFont="1" applyBorder="1"/>
    <xf numFmtId="8" fontId="4" fillId="0" borderId="50" xfId="0" applyNumberFormat="1" applyFont="1" applyBorder="1"/>
    <xf numFmtId="8" fontId="4" fillId="0" borderId="23" xfId="0" applyNumberFormat="1" applyFont="1" applyBorder="1"/>
    <xf numFmtId="166" fontId="4" fillId="0" borderId="4" xfId="0" applyNumberFormat="1" applyFont="1" applyBorder="1" applyAlignment="1">
      <alignment horizontal="center"/>
    </xf>
    <xf numFmtId="15" fontId="4" fillId="0" borderId="25" xfId="0" applyFont="1" applyBorder="1"/>
    <xf numFmtId="166" fontId="4" fillId="0" borderId="66" xfId="0" applyNumberFormat="1" applyFont="1" applyBorder="1"/>
    <xf numFmtId="166" fontId="4" fillId="0" borderId="67" xfId="0" applyNumberFormat="1" applyFont="1" applyBorder="1"/>
    <xf numFmtId="166" fontId="4" fillId="0" borderId="0" xfId="0" applyNumberFormat="1" applyFont="1" applyAlignment="1">
      <alignment horizontal="center"/>
    </xf>
    <xf numFmtId="165" fontId="4" fillId="0" borderId="0" xfId="0" applyNumberFormat="1" applyFont="1"/>
    <xf numFmtId="8" fontId="4" fillId="0" borderId="21" xfId="0" applyNumberFormat="1" applyFont="1" applyBorder="1"/>
    <xf numFmtId="8" fontId="4" fillId="0" borderId="68" xfId="0" applyNumberFormat="1" applyFont="1" applyBorder="1"/>
    <xf numFmtId="8" fontId="7" fillId="0" borderId="40" xfId="0" applyNumberFormat="1" applyFont="1" applyBorder="1"/>
    <xf numFmtId="8" fontId="18" fillId="0" borderId="14" xfId="0" applyNumberFormat="1" applyFont="1" applyBorder="1"/>
    <xf numFmtId="8" fontId="18" fillId="0" borderId="69" xfId="0" applyNumberFormat="1" applyFont="1" applyBorder="1"/>
    <xf numFmtId="8" fontId="18" fillId="0" borderId="0" xfId="0" applyNumberFormat="1" applyFont="1"/>
    <xf numFmtId="8" fontId="7" fillId="0" borderId="41" xfId="0" applyNumberFormat="1" applyFont="1" applyBorder="1"/>
    <xf numFmtId="8" fontId="18" fillId="0" borderId="12" xfId="0" applyNumberFormat="1" applyFont="1" applyBorder="1"/>
    <xf numFmtId="8" fontId="18" fillId="0" borderId="70" xfId="0" applyNumberFormat="1" applyFont="1" applyBorder="1"/>
    <xf numFmtId="8" fontId="3" fillId="0" borderId="71" xfId="0" applyNumberFormat="1" applyFont="1" applyBorder="1" applyAlignment="1">
      <alignment horizontal="left"/>
    </xf>
    <xf numFmtId="8" fontId="4" fillId="0" borderId="36" xfId="0" applyNumberFormat="1" applyFont="1" applyBorder="1"/>
    <xf numFmtId="8" fontId="4" fillId="0" borderId="53" xfId="0" applyNumberFormat="1" applyFont="1" applyBorder="1"/>
    <xf numFmtId="15" fontId="4" fillId="0" borderId="52" xfId="0" applyFont="1" applyBorder="1" applyAlignment="1">
      <alignment horizontal="center"/>
    </xf>
    <xf numFmtId="15" fontId="4" fillId="0" borderId="51" xfId="0" applyFont="1" applyBorder="1" applyAlignment="1">
      <alignment horizontal="center"/>
    </xf>
    <xf numFmtId="15" fontId="4" fillId="0" borderId="72" xfId="0" applyFont="1" applyBorder="1" applyAlignment="1">
      <alignment horizontal="center"/>
    </xf>
    <xf numFmtId="15" fontId="4" fillId="0" borderId="73" xfId="0" applyFont="1" applyBorder="1" applyAlignment="1">
      <alignment horizontal="center"/>
    </xf>
    <xf numFmtId="15" fontId="4" fillId="0" borderId="44" xfId="0" applyFont="1" applyBorder="1" applyAlignment="1">
      <alignment horizontal="center"/>
    </xf>
    <xf numFmtId="15" fontId="4" fillId="0" borderId="74" xfId="0" applyFont="1" applyBorder="1"/>
    <xf numFmtId="15" fontId="4" fillId="0" borderId="75" xfId="0" applyFont="1" applyBorder="1"/>
    <xf numFmtId="8" fontId="4" fillId="0" borderId="77" xfId="0" applyNumberFormat="1" applyFont="1" applyBorder="1"/>
    <xf numFmtId="8" fontId="18" fillId="0" borderId="78" xfId="0" applyNumberFormat="1" applyFont="1" applyBorder="1"/>
    <xf numFmtId="8" fontId="4" fillId="0" borderId="62" xfId="0" applyNumberFormat="1" applyFont="1" applyBorder="1"/>
    <xf numFmtId="8" fontId="4" fillId="0" borderId="79" xfId="0" applyNumberFormat="1" applyFont="1" applyBorder="1"/>
    <xf numFmtId="8" fontId="4" fillId="0" borderId="46" xfId="0" applyNumberFormat="1" applyFont="1" applyBorder="1"/>
    <xf numFmtId="4" fontId="4" fillId="0" borderId="40" xfId="0" applyNumberFormat="1" applyFont="1" applyBorder="1"/>
    <xf numFmtId="4" fontId="4" fillId="0" borderId="80" xfId="0" applyNumberFormat="1" applyFont="1" applyBorder="1"/>
    <xf numFmtId="4" fontId="4" fillId="0" borderId="0" xfId="0" applyNumberFormat="1" applyFont="1"/>
    <xf numFmtId="40" fontId="4" fillId="0" borderId="28" xfId="0" applyNumberFormat="1" applyFont="1" applyBorder="1"/>
    <xf numFmtId="15" fontId="4" fillId="0" borderId="28" xfId="0" applyFont="1" applyBorder="1" applyAlignment="1">
      <alignment horizontal="left"/>
    </xf>
    <xf numFmtId="15" fontId="4" fillId="0" borderId="81" xfId="0" applyFont="1" applyBorder="1"/>
    <xf numFmtId="40" fontId="4" fillId="0" borderId="0" xfId="0" applyNumberFormat="1" applyFont="1"/>
    <xf numFmtId="40" fontId="4" fillId="0" borderId="40" xfId="0" applyNumberFormat="1" applyFont="1" applyBorder="1"/>
    <xf numFmtId="40" fontId="4" fillId="0" borderId="82" xfId="0" applyNumberFormat="1" applyFont="1" applyBorder="1"/>
    <xf numFmtId="40" fontId="4" fillId="0" borderId="19" xfId="0" applyNumberFormat="1" applyFont="1" applyBorder="1"/>
    <xf numFmtId="40" fontId="4" fillId="0" borderId="80" xfId="0" applyNumberFormat="1" applyFont="1" applyBorder="1"/>
    <xf numFmtId="1" fontId="4" fillId="0" borderId="43" xfId="0" applyNumberFormat="1" applyFont="1" applyBorder="1" applyAlignment="1">
      <alignment horizontal="center"/>
    </xf>
    <xf numFmtId="1" fontId="4" fillId="0" borderId="83" xfId="0" applyNumberFormat="1" applyFont="1" applyBorder="1" applyAlignment="1">
      <alignment horizontal="center"/>
    </xf>
    <xf numFmtId="1" fontId="4" fillId="0" borderId="84" xfId="0" applyNumberFormat="1" applyFont="1" applyBorder="1" applyAlignment="1">
      <alignment horizontal="center"/>
    </xf>
    <xf numFmtId="1" fontId="4" fillId="0" borderId="85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4" fillId="0" borderId="8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8" fontId="4" fillId="0" borderId="28" xfId="0" applyNumberFormat="1" applyFont="1" applyBorder="1" applyAlignment="1">
      <alignment horizontal="center"/>
    </xf>
    <xf numFmtId="8" fontId="4" fillId="0" borderId="0" xfId="0" applyNumberFormat="1" applyFont="1" applyAlignment="1">
      <alignment horizontal="center"/>
    </xf>
    <xf numFmtId="1" fontId="4" fillId="0" borderId="44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center"/>
    </xf>
    <xf numFmtId="1" fontId="4" fillId="0" borderId="49" xfId="0" applyNumberFormat="1" applyFont="1" applyBorder="1" applyAlignment="1">
      <alignment horizontal="left"/>
    </xf>
    <xf numFmtId="15" fontId="21" fillId="0" borderId="0" xfId="0" applyFont="1"/>
    <xf numFmtId="15" fontId="24" fillId="0" borderId="0" xfId="0" applyFont="1"/>
    <xf numFmtId="15" fontId="22" fillId="0" borderId="0" xfId="0" applyFont="1"/>
    <xf numFmtId="15" fontId="16" fillId="0" borderId="0" xfId="0" applyFont="1" applyAlignment="1">
      <alignment wrapText="1"/>
    </xf>
    <xf numFmtId="15" fontId="26" fillId="0" borderId="0" xfId="0" applyFont="1" applyAlignment="1">
      <alignment horizontal="left"/>
    </xf>
    <xf numFmtId="15" fontId="26" fillId="0" borderId="0" xfId="0" applyFont="1"/>
    <xf numFmtId="170" fontId="4" fillId="0" borderId="0" xfId="0" applyNumberFormat="1" applyFont="1" applyAlignment="1">
      <alignment horizontal="center"/>
    </xf>
    <xf numFmtId="15" fontId="4" fillId="0" borderId="0" xfId="0" quotePrefix="1" applyFont="1"/>
    <xf numFmtId="15" fontId="4" fillId="0" borderId="6" xfId="0" applyFont="1" applyBorder="1" applyAlignment="1">
      <alignment horizontal="left" wrapText="1"/>
    </xf>
    <xf numFmtId="15" fontId="4" fillId="0" borderId="11" xfId="0" applyFont="1" applyBorder="1" applyAlignment="1">
      <alignment horizontal="center"/>
    </xf>
    <xf numFmtId="15" fontId="4" fillId="0" borderId="10" xfId="0" applyFont="1" applyBorder="1" applyAlignment="1">
      <alignment horizontal="center"/>
    </xf>
    <xf numFmtId="15" fontId="4" fillId="0" borderId="5" xfId="0" applyFont="1" applyBorder="1" applyAlignment="1">
      <alignment horizontal="center"/>
    </xf>
    <xf numFmtId="170" fontId="4" fillId="0" borderId="70" xfId="0" applyNumberFormat="1" applyFont="1" applyBorder="1"/>
    <xf numFmtId="1" fontId="4" fillId="0" borderId="8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5" fontId="4" fillId="0" borderId="8" xfId="0" applyFont="1" applyBorder="1" applyAlignment="1">
      <alignment horizontal="right"/>
    </xf>
    <xf numFmtId="168" fontId="16" fillId="0" borderId="0" xfId="0" applyNumberFormat="1" applyFont="1"/>
    <xf numFmtId="1" fontId="4" fillId="0" borderId="2" xfId="0" applyNumberFormat="1" applyFont="1" applyBorder="1" applyAlignment="1">
      <alignment horizontal="center"/>
    </xf>
    <xf numFmtId="15" fontId="3" fillId="0" borderId="7" xfId="0" applyFont="1" applyBorder="1" applyAlignment="1">
      <alignment horizontal="left" wrapText="1"/>
    </xf>
    <xf numFmtId="170" fontId="4" fillId="0" borderId="12" xfId="0" applyNumberFormat="1" applyFont="1" applyBorder="1"/>
    <xf numFmtId="167" fontId="4" fillId="0" borderId="11" xfId="0" applyNumberFormat="1" applyFont="1" applyBorder="1" applyAlignment="1">
      <alignment horizontal="center"/>
    </xf>
    <xf numFmtId="15" fontId="22" fillId="0" borderId="0" xfId="0" applyFont="1" applyAlignment="1">
      <alignment horizontal="right"/>
    </xf>
    <xf numFmtId="1" fontId="8" fillId="0" borderId="0" xfId="0" quotePrefix="1" applyNumberFormat="1" applyFont="1"/>
    <xf numFmtId="3" fontId="8" fillId="0" borderId="0" xfId="0" applyNumberFormat="1" applyFont="1"/>
    <xf numFmtId="9" fontId="8" fillId="0" borderId="0" xfId="0" applyNumberFormat="1" applyFont="1"/>
    <xf numFmtId="170" fontId="4" fillId="0" borderId="73" xfId="0" applyNumberFormat="1" applyFont="1" applyBorder="1"/>
    <xf numFmtId="8" fontId="4" fillId="0" borderId="45" xfId="0" applyNumberFormat="1" applyFont="1" applyBorder="1"/>
    <xf numFmtId="1" fontId="16" fillId="0" borderId="84" xfId="0" applyNumberFormat="1" applyFont="1" applyBorder="1" applyAlignment="1">
      <alignment horizontal="center"/>
    </xf>
    <xf numFmtId="168" fontId="4" fillId="0" borderId="46" xfId="0" applyNumberFormat="1" applyFont="1" applyBorder="1"/>
    <xf numFmtId="168" fontId="4" fillId="0" borderId="36" xfId="0" applyNumberFormat="1" applyFont="1" applyBorder="1"/>
    <xf numFmtId="1" fontId="16" fillId="0" borderId="86" xfId="0" applyNumberFormat="1" applyFont="1" applyBorder="1" applyAlignment="1">
      <alignment horizontal="center"/>
    </xf>
    <xf numFmtId="170" fontId="28" fillId="0" borderId="11" xfId="0" applyNumberFormat="1" applyFont="1" applyBorder="1"/>
    <xf numFmtId="170" fontId="28" fillId="0" borderId="5" xfId="0" applyNumberFormat="1" applyFont="1" applyBorder="1"/>
    <xf numFmtId="170" fontId="28" fillId="0" borderId="8" xfId="0" applyNumberFormat="1" applyFont="1" applyBorder="1"/>
    <xf numFmtId="15" fontId="28" fillId="0" borderId="0" xfId="0" applyFont="1"/>
    <xf numFmtId="8" fontId="4" fillId="0" borderId="26" xfId="0" applyNumberFormat="1" applyFont="1" applyBorder="1"/>
    <xf numFmtId="168" fontId="18" fillId="0" borderId="0" xfId="0" applyNumberFormat="1" applyFont="1"/>
    <xf numFmtId="15" fontId="4" fillId="0" borderId="50" xfId="0" applyFont="1" applyBorder="1" applyAlignment="1">
      <alignment horizontal="left" wrapText="1"/>
    </xf>
    <xf numFmtId="15" fontId="4" fillId="0" borderId="57" xfId="0" applyFont="1" applyBorder="1"/>
    <xf numFmtId="8" fontId="16" fillId="2" borderId="0" xfId="0" applyNumberFormat="1" applyFont="1" applyFill="1"/>
    <xf numFmtId="8" fontId="4" fillId="2" borderId="0" xfId="0" applyNumberFormat="1" applyFont="1" applyFill="1"/>
    <xf numFmtId="168" fontId="4" fillId="2" borderId="0" xfId="0" applyNumberFormat="1" applyFont="1" applyFill="1"/>
    <xf numFmtId="170" fontId="4" fillId="2" borderId="0" xfId="0" applyNumberFormat="1" applyFont="1" applyFill="1"/>
    <xf numFmtId="1" fontId="4" fillId="2" borderId="0" xfId="0" applyNumberFormat="1" applyFont="1" applyFill="1"/>
    <xf numFmtId="15" fontId="16" fillId="2" borderId="5" xfId="0" applyFont="1" applyFill="1" applyBorder="1"/>
    <xf numFmtId="2" fontId="29" fillId="0" borderId="18" xfId="0" applyNumberFormat="1" applyFont="1" applyBorder="1" applyAlignment="1">
      <alignment horizontal="center"/>
    </xf>
    <xf numFmtId="15" fontId="4" fillId="2" borderId="0" xfId="0" applyFont="1" applyFill="1"/>
    <xf numFmtId="8" fontId="4" fillId="2" borderId="43" xfId="0" applyNumberFormat="1" applyFont="1" applyFill="1" applyBorder="1"/>
    <xf numFmtId="8" fontId="16" fillId="2" borderId="18" xfId="0" applyNumberFormat="1" applyFont="1" applyFill="1" applyBorder="1"/>
    <xf numFmtId="8" fontId="4" fillId="2" borderId="18" xfId="0" applyNumberFormat="1" applyFont="1" applyFill="1" applyBorder="1"/>
    <xf numFmtId="167" fontId="16" fillId="2" borderId="5" xfId="0" applyNumberFormat="1" applyFont="1" applyFill="1" applyBorder="1"/>
    <xf numFmtId="167" fontId="4" fillId="2" borderId="10" xfId="0" applyNumberFormat="1" applyFont="1" applyFill="1" applyBorder="1"/>
    <xf numFmtId="167" fontId="4" fillId="2" borderId="0" xfId="0" applyNumberFormat="1" applyFont="1" applyFill="1"/>
    <xf numFmtId="15" fontId="4" fillId="0" borderId="25" xfId="0" applyFont="1" applyBorder="1" applyAlignment="1">
      <alignment horizontal="center"/>
    </xf>
    <xf numFmtId="15" fontId="4" fillId="0" borderId="87" xfId="0" applyFont="1" applyBorder="1" applyAlignment="1">
      <alignment horizontal="center"/>
    </xf>
    <xf numFmtId="15" fontId="0" fillId="0" borderId="6" xfId="0" applyBorder="1" applyAlignment="1">
      <alignment horizontal="center"/>
    </xf>
    <xf numFmtId="170" fontId="4" fillId="0" borderId="49" xfId="0" applyNumberFormat="1" applyFont="1" applyBorder="1"/>
    <xf numFmtId="0" fontId="4" fillId="2" borderId="0" xfId="0" applyNumberFormat="1" applyFont="1" applyFill="1"/>
    <xf numFmtId="1" fontId="16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0" fontId="4" fillId="0" borderId="28" xfId="0" applyNumberFormat="1" applyFont="1" applyBorder="1"/>
    <xf numFmtId="168" fontId="0" fillId="0" borderId="0" xfId="0" applyNumberFormat="1"/>
    <xf numFmtId="168" fontId="4" fillId="0" borderId="2" xfId="0" applyNumberFormat="1" applyFont="1" applyBorder="1" applyAlignment="1">
      <alignment wrapText="1"/>
    </xf>
    <xf numFmtId="168" fontId="0" fillId="0" borderId="0" xfId="0" applyNumberFormat="1" applyAlignment="1">
      <alignment wrapText="1"/>
    </xf>
    <xf numFmtId="168" fontId="16" fillId="0" borderId="0" xfId="0" applyNumberFormat="1" applyFont="1" applyAlignment="1">
      <alignment wrapText="1"/>
    </xf>
    <xf numFmtId="170" fontId="3" fillId="0" borderId="21" xfId="0" applyNumberFormat="1" applyFont="1" applyBorder="1" applyAlignment="1">
      <alignment horizontal="left"/>
    </xf>
    <xf numFmtId="15" fontId="3" fillId="0" borderId="88" xfId="0" applyFont="1" applyBorder="1" applyAlignment="1">
      <alignment horizontal="center"/>
    </xf>
    <xf numFmtId="2" fontId="29" fillId="0" borderId="89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170" fontId="7" fillId="0" borderId="88" xfId="0" applyNumberFormat="1" applyFont="1" applyBorder="1" applyAlignment="1">
      <alignment horizontal="right"/>
    </xf>
    <xf numFmtId="8" fontId="4" fillId="0" borderId="90" xfId="0" applyNumberFormat="1" applyFont="1" applyBorder="1"/>
    <xf numFmtId="167" fontId="4" fillId="2" borderId="11" xfId="0" applyNumberFormat="1" applyFont="1" applyFill="1" applyBorder="1"/>
    <xf numFmtId="8" fontId="4" fillId="0" borderId="91" xfId="0" applyNumberFormat="1" applyFont="1" applyBorder="1"/>
    <xf numFmtId="8" fontId="4" fillId="0" borderId="92" xfId="0" applyNumberFormat="1" applyFont="1" applyBorder="1"/>
    <xf numFmtId="15" fontId="0" fillId="0" borderId="8" xfId="0" applyBorder="1" applyAlignment="1">
      <alignment horizontal="center"/>
    </xf>
    <xf numFmtId="8" fontId="4" fillId="0" borderId="18" xfId="0" applyNumberFormat="1" applyFont="1" applyBorder="1" applyAlignment="1">
      <alignment horizontal="center"/>
    </xf>
    <xf numFmtId="8" fontId="4" fillId="0" borderId="28" xfId="0" applyNumberFormat="1" applyFont="1" applyBorder="1"/>
    <xf numFmtId="8" fontId="4" fillId="0" borderId="1" xfId="0" applyNumberFormat="1" applyFont="1" applyBorder="1"/>
    <xf numFmtId="1" fontId="4" fillId="0" borderId="93" xfId="0" applyNumberFormat="1" applyFont="1" applyBorder="1"/>
    <xf numFmtId="40" fontId="4" fillId="0" borderId="29" xfId="0" applyNumberFormat="1" applyFont="1" applyBorder="1"/>
    <xf numFmtId="168" fontId="4" fillId="0" borderId="0" xfId="0" applyNumberFormat="1" applyFont="1" applyAlignment="1">
      <alignment vertical="center"/>
    </xf>
    <xf numFmtId="168" fontId="4" fillId="0" borderId="8" xfId="0" applyNumberFormat="1" applyFont="1" applyBorder="1" applyAlignment="1">
      <alignment vertical="center"/>
    </xf>
    <xf numFmtId="168" fontId="4" fillId="0" borderId="94" xfId="0" applyNumberFormat="1" applyFont="1" applyBorder="1" applyAlignment="1">
      <alignment vertical="center"/>
    </xf>
    <xf numFmtId="168" fontId="4" fillId="0" borderId="54" xfId="0" applyNumberFormat="1" applyFont="1" applyBorder="1" applyAlignment="1">
      <alignment vertical="center"/>
    </xf>
    <xf numFmtId="168" fontId="4" fillId="0" borderId="95" xfId="0" applyNumberFormat="1" applyFont="1" applyBorder="1" applyAlignment="1">
      <alignment vertical="center"/>
    </xf>
    <xf numFmtId="168" fontId="27" fillId="0" borderId="0" xfId="0" applyNumberFormat="1" applyFont="1" applyAlignment="1">
      <alignment horizontal="left" vertical="center"/>
    </xf>
    <xf numFmtId="168" fontId="4" fillId="0" borderId="44" xfId="0" quotePrefix="1" applyNumberFormat="1" applyFont="1" applyBorder="1" applyAlignment="1">
      <alignment vertical="center"/>
    </xf>
    <xf numFmtId="168" fontId="4" fillId="0" borderId="2" xfId="0" applyNumberFormat="1" applyFont="1" applyBorder="1" applyAlignment="1">
      <alignment vertical="center"/>
    </xf>
    <xf numFmtId="168" fontId="4" fillId="0" borderId="67" xfId="0" quotePrefix="1" applyNumberFormat="1" applyFont="1" applyBorder="1" applyAlignment="1">
      <alignment vertical="center"/>
    </xf>
    <xf numFmtId="168" fontId="3" fillId="0" borderId="0" xfId="0" applyNumberFormat="1" applyFont="1" applyAlignment="1">
      <alignment horizontal="left" vertical="center"/>
    </xf>
    <xf numFmtId="166" fontId="8" fillId="0" borderId="0" xfId="0" applyNumberFormat="1" applyFont="1" applyAlignment="1">
      <alignment horizontal="center"/>
    </xf>
    <xf numFmtId="15" fontId="8" fillId="0" borderId="0" xfId="0" applyFont="1"/>
    <xf numFmtId="170" fontId="4" fillId="0" borderId="66" xfId="0" applyNumberFormat="1" applyFont="1" applyBorder="1"/>
    <xf numFmtId="1" fontId="4" fillId="2" borderId="66" xfId="0" applyNumberFormat="1" applyFont="1" applyFill="1" applyBorder="1"/>
    <xf numFmtId="174" fontId="4" fillId="2" borderId="24" xfId="0" applyNumberFormat="1" applyFont="1" applyFill="1" applyBorder="1"/>
    <xf numFmtId="1" fontId="4" fillId="2" borderId="10" xfId="0" applyNumberFormat="1" applyFont="1" applyFill="1" applyBorder="1"/>
    <xf numFmtId="15" fontId="3" fillId="0" borderId="44" xfId="0" applyFont="1" applyBorder="1" applyAlignment="1">
      <alignment horizontal="center" wrapText="1"/>
    </xf>
    <xf numFmtId="15" fontId="4" fillId="0" borderId="96" xfId="0" applyFont="1" applyBorder="1" applyAlignment="1">
      <alignment horizontal="center" wrapText="1"/>
    </xf>
    <xf numFmtId="168" fontId="3" fillId="0" borderId="18" xfId="0" applyNumberFormat="1" applyFont="1" applyBorder="1"/>
    <xf numFmtId="15" fontId="4" fillId="3" borderId="9" xfId="0" applyFont="1" applyFill="1" applyBorder="1" applyAlignment="1" applyProtection="1">
      <alignment horizontal="center"/>
      <protection locked="0"/>
    </xf>
    <xf numFmtId="15" fontId="4" fillId="3" borderId="24" xfId="0" applyFont="1" applyFill="1" applyBorder="1" applyAlignment="1" applyProtection="1">
      <alignment horizontal="center"/>
      <protection locked="0"/>
    </xf>
    <xf numFmtId="1" fontId="4" fillId="3" borderId="10" xfId="0" applyNumberFormat="1" applyFont="1" applyFill="1" applyBorder="1" applyAlignment="1" applyProtection="1">
      <alignment horizontal="center"/>
      <protection locked="0"/>
    </xf>
    <xf numFmtId="1" fontId="4" fillId="3" borderId="24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1" fontId="4" fillId="3" borderId="31" xfId="0" applyNumberFormat="1" applyFont="1" applyFill="1" applyBorder="1" applyAlignment="1" applyProtection="1">
      <alignment horizontal="center"/>
      <protection locked="0"/>
    </xf>
    <xf numFmtId="1" fontId="4" fillId="3" borderId="97" xfId="0" applyNumberFormat="1" applyFont="1" applyFill="1" applyBorder="1" applyAlignment="1" applyProtection="1">
      <alignment horizontal="center"/>
      <protection locked="0"/>
    </xf>
    <xf numFmtId="1" fontId="4" fillId="3" borderId="32" xfId="0" applyNumberFormat="1" applyFont="1" applyFill="1" applyBorder="1" applyAlignment="1" applyProtection="1">
      <alignment horizontal="center"/>
      <protection locked="0"/>
    </xf>
    <xf numFmtId="170" fontId="4" fillId="3" borderId="38" xfId="0" applyNumberFormat="1" applyFont="1" applyFill="1" applyBorder="1" applyProtection="1">
      <protection locked="0"/>
    </xf>
    <xf numFmtId="170" fontId="4" fillId="3" borderId="30" xfId="0" applyNumberFormat="1" applyFont="1" applyFill="1" applyBorder="1" applyProtection="1">
      <protection locked="0"/>
    </xf>
    <xf numFmtId="170" fontId="4" fillId="3" borderId="22" xfId="0" applyNumberFormat="1" applyFont="1" applyFill="1" applyBorder="1" applyProtection="1">
      <protection locked="0"/>
    </xf>
    <xf numFmtId="170" fontId="4" fillId="3" borderId="10" xfId="0" applyNumberFormat="1" applyFont="1" applyFill="1" applyBorder="1" applyProtection="1">
      <protection locked="0"/>
    </xf>
    <xf numFmtId="170" fontId="4" fillId="3" borderId="24" xfId="0" applyNumberFormat="1" applyFont="1" applyFill="1" applyBorder="1" applyProtection="1">
      <protection locked="0"/>
    </xf>
    <xf numFmtId="170" fontId="4" fillId="3" borderId="11" xfId="0" applyNumberFormat="1" applyFont="1" applyFill="1" applyBorder="1" applyProtection="1">
      <protection locked="0"/>
    </xf>
    <xf numFmtId="170" fontId="4" fillId="3" borderId="72" xfId="0" applyNumberFormat="1" applyFont="1" applyFill="1" applyBorder="1" applyProtection="1">
      <protection locked="0"/>
    </xf>
    <xf numFmtId="170" fontId="4" fillId="3" borderId="98" xfId="0" applyNumberFormat="1" applyFont="1" applyFill="1" applyBorder="1" applyProtection="1">
      <protection locked="0"/>
    </xf>
    <xf numFmtId="170" fontId="4" fillId="3" borderId="51" xfId="0" applyNumberFormat="1" applyFont="1" applyFill="1" applyBorder="1" applyProtection="1">
      <protection locked="0"/>
    </xf>
    <xf numFmtId="170" fontId="4" fillId="3" borderId="12" xfId="0" applyNumberFormat="1" applyFont="1" applyFill="1" applyBorder="1" applyProtection="1">
      <protection locked="0"/>
    </xf>
    <xf numFmtId="170" fontId="4" fillId="3" borderId="70" xfId="0" applyNumberFormat="1" applyFont="1" applyFill="1" applyBorder="1" applyProtection="1">
      <protection locked="0"/>
    </xf>
    <xf numFmtId="170" fontId="4" fillId="3" borderId="45" xfId="0" applyNumberFormat="1" applyFont="1" applyFill="1" applyBorder="1" applyProtection="1">
      <protection locked="0"/>
    </xf>
    <xf numFmtId="170" fontId="4" fillId="3" borderId="48" xfId="0" applyNumberFormat="1" applyFont="1" applyFill="1" applyBorder="1" applyProtection="1">
      <protection locked="0"/>
    </xf>
    <xf numFmtId="170" fontId="4" fillId="3" borderId="46" xfId="0" applyNumberFormat="1" applyFont="1" applyFill="1" applyBorder="1" applyProtection="1">
      <protection locked="0"/>
    </xf>
    <xf numFmtId="1" fontId="32" fillId="3" borderId="84" xfId="0" applyNumberFormat="1" applyFont="1" applyFill="1" applyBorder="1" applyAlignment="1" applyProtection="1">
      <alignment horizontal="center"/>
      <protection locked="0"/>
    </xf>
    <xf numFmtId="1" fontId="32" fillId="3" borderId="85" xfId="0" applyNumberFormat="1" applyFont="1" applyFill="1" applyBorder="1" applyAlignment="1" applyProtection="1">
      <alignment horizontal="center"/>
      <protection locked="0"/>
    </xf>
    <xf numFmtId="2" fontId="29" fillId="0" borderId="72" xfId="0" applyNumberFormat="1" applyFont="1" applyBorder="1" applyAlignment="1">
      <alignment horizontal="center"/>
    </xf>
    <xf numFmtId="170" fontId="4" fillId="3" borderId="62" xfId="0" applyNumberFormat="1" applyFont="1" applyFill="1" applyBorder="1" applyProtection="1">
      <protection locked="0"/>
    </xf>
    <xf numFmtId="168" fontId="4" fillId="0" borderId="100" xfId="0" applyNumberFormat="1" applyFont="1" applyBorder="1"/>
    <xf numFmtId="168" fontId="4" fillId="0" borderId="101" xfId="0" applyNumberFormat="1" applyFont="1" applyBorder="1"/>
    <xf numFmtId="168" fontId="4" fillId="0" borderId="102" xfId="0" applyNumberFormat="1" applyFont="1" applyBorder="1"/>
    <xf numFmtId="168" fontId="4" fillId="0" borderId="103" xfId="0" applyNumberFormat="1" applyFont="1" applyBorder="1"/>
    <xf numFmtId="170" fontId="4" fillId="3" borderId="104" xfId="0" applyNumberFormat="1" applyFont="1" applyFill="1" applyBorder="1" applyProtection="1">
      <protection locked="0"/>
    </xf>
    <xf numFmtId="170" fontId="4" fillId="3" borderId="105" xfId="0" applyNumberFormat="1" applyFont="1" applyFill="1" applyBorder="1" applyProtection="1">
      <protection locked="0"/>
    </xf>
    <xf numFmtId="170" fontId="4" fillId="3" borderId="100" xfId="0" applyNumberFormat="1" applyFont="1" applyFill="1" applyBorder="1" applyProtection="1">
      <protection locked="0"/>
    </xf>
    <xf numFmtId="8" fontId="4" fillId="3" borderId="104" xfId="0" applyNumberFormat="1" applyFont="1" applyFill="1" applyBorder="1" applyProtection="1">
      <protection locked="0"/>
    </xf>
    <xf numFmtId="170" fontId="4" fillId="3" borderId="106" xfId="0" applyNumberFormat="1" applyFont="1" applyFill="1" applyBorder="1" applyProtection="1">
      <protection locked="0"/>
    </xf>
    <xf numFmtId="170" fontId="4" fillId="3" borderId="107" xfId="0" applyNumberFormat="1" applyFont="1" applyFill="1" applyBorder="1" applyProtection="1">
      <protection locked="0"/>
    </xf>
    <xf numFmtId="170" fontId="4" fillId="3" borderId="102" xfId="0" applyNumberFormat="1" applyFont="1" applyFill="1" applyBorder="1" applyProtection="1">
      <protection locked="0"/>
    </xf>
    <xf numFmtId="8" fontId="4" fillId="3" borderId="106" xfId="0" applyNumberFormat="1" applyFont="1" applyFill="1" applyBorder="1" applyProtection="1">
      <protection locked="0"/>
    </xf>
    <xf numFmtId="170" fontId="4" fillId="3" borderId="108" xfId="0" applyNumberFormat="1" applyFont="1" applyFill="1" applyBorder="1" applyAlignment="1" applyProtection="1">
      <alignment horizontal="left" wrapText="1"/>
      <protection locked="0"/>
    </xf>
    <xf numFmtId="170" fontId="8" fillId="3" borderId="106" xfId="0" applyNumberFormat="1" applyFont="1" applyFill="1" applyBorder="1" applyProtection="1">
      <protection locked="0"/>
    </xf>
    <xf numFmtId="170" fontId="4" fillId="3" borderId="109" xfId="0" applyNumberFormat="1" applyFont="1" applyFill="1" applyBorder="1" applyAlignment="1" applyProtection="1">
      <alignment horizontal="left" wrapText="1"/>
      <protection locked="0"/>
    </xf>
    <xf numFmtId="170" fontId="4" fillId="3" borderId="110" xfId="0" applyNumberFormat="1" applyFont="1" applyFill="1" applyBorder="1" applyProtection="1">
      <protection locked="0"/>
    </xf>
    <xf numFmtId="170" fontId="4" fillId="3" borderId="111" xfId="0" applyNumberFormat="1" applyFont="1" applyFill="1" applyBorder="1" applyProtection="1">
      <protection locked="0"/>
    </xf>
    <xf numFmtId="170" fontId="4" fillId="3" borderId="112" xfId="0" applyNumberFormat="1" applyFont="1" applyFill="1" applyBorder="1" applyProtection="1">
      <protection locked="0"/>
    </xf>
    <xf numFmtId="170" fontId="4" fillId="3" borderId="19" xfId="0" applyNumberFormat="1" applyFont="1" applyFill="1" applyBorder="1" applyProtection="1">
      <protection locked="0"/>
    </xf>
    <xf numFmtId="170" fontId="4" fillId="3" borderId="14" xfId="0" applyNumberFormat="1" applyFont="1" applyFill="1" applyBorder="1" applyProtection="1">
      <protection locked="0"/>
    </xf>
    <xf numFmtId="170" fontId="4" fillId="0" borderId="40" xfId="0" applyNumberFormat="1" applyFont="1" applyBorder="1" applyAlignment="1">
      <alignment horizontal="right"/>
    </xf>
    <xf numFmtId="15" fontId="0" fillId="0" borderId="23" xfId="0" applyBorder="1" applyAlignment="1">
      <alignment horizontal="right"/>
    </xf>
    <xf numFmtId="15" fontId="4" fillId="0" borderId="13" xfId="0" applyFont="1" applyBorder="1" applyAlignment="1">
      <alignment horizontal="center"/>
    </xf>
    <xf numFmtId="8" fontId="3" fillId="0" borderId="33" xfId="0" applyNumberFormat="1" applyFont="1" applyBorder="1" applyAlignment="1">
      <alignment horizontal="left"/>
    </xf>
    <xf numFmtId="15" fontId="4" fillId="0" borderId="114" xfId="0" applyFont="1" applyBorder="1" applyAlignment="1">
      <alignment horizontal="center"/>
    </xf>
    <xf numFmtId="15" fontId="0" fillId="3" borderId="112" xfId="0" applyFill="1" applyBorder="1" applyAlignment="1" applyProtection="1">
      <alignment horizontal="center"/>
      <protection locked="0"/>
    </xf>
    <xf numFmtId="15" fontId="4" fillId="0" borderId="119" xfId="0" applyFont="1" applyBorder="1" applyAlignment="1">
      <alignment horizontal="right"/>
    </xf>
    <xf numFmtId="15" fontId="4" fillId="0" borderId="120" xfId="0" applyFont="1" applyBorder="1" applyAlignment="1">
      <alignment horizontal="right"/>
    </xf>
    <xf numFmtId="8" fontId="4" fillId="3" borderId="120" xfId="0" applyNumberFormat="1" applyFont="1" applyFill="1" applyBorder="1" applyProtection="1">
      <protection locked="0"/>
    </xf>
    <xf numFmtId="8" fontId="4" fillId="3" borderId="122" xfId="0" applyNumberFormat="1" applyFont="1" applyFill="1" applyBorder="1" applyProtection="1">
      <protection locked="0"/>
    </xf>
    <xf numFmtId="15" fontId="4" fillId="3" borderId="123" xfId="0" applyFont="1" applyFill="1" applyBorder="1" applyAlignment="1" applyProtection="1">
      <alignment horizontal="center"/>
      <protection locked="0"/>
    </xf>
    <xf numFmtId="15" fontId="4" fillId="0" borderId="124" xfId="0" applyFont="1" applyBorder="1" applyAlignment="1">
      <alignment horizontal="right"/>
    </xf>
    <xf numFmtId="167" fontId="4" fillId="3" borderId="125" xfId="0" applyNumberFormat="1" applyFont="1" applyFill="1" applyBorder="1" applyProtection="1">
      <protection locked="0"/>
    </xf>
    <xf numFmtId="167" fontId="4" fillId="3" borderId="126" xfId="0" applyNumberFormat="1" applyFont="1" applyFill="1" applyBorder="1" applyProtection="1">
      <protection locked="0"/>
    </xf>
    <xf numFmtId="8" fontId="4" fillId="3" borderId="127" xfId="0" applyNumberFormat="1" applyFont="1" applyFill="1" applyBorder="1" applyProtection="1">
      <protection locked="0"/>
    </xf>
    <xf numFmtId="8" fontId="4" fillId="0" borderId="128" xfId="0" applyNumberFormat="1" applyFont="1" applyBorder="1"/>
    <xf numFmtId="8" fontId="4" fillId="0" borderId="130" xfId="0" applyNumberFormat="1" applyFont="1" applyBorder="1"/>
    <xf numFmtId="8" fontId="4" fillId="0" borderId="131" xfId="0" applyNumberFormat="1" applyFont="1" applyBorder="1"/>
    <xf numFmtId="8" fontId="4" fillId="0" borderId="132" xfId="0" applyNumberFormat="1" applyFont="1" applyBorder="1"/>
    <xf numFmtId="8" fontId="4" fillId="0" borderId="133" xfId="0" applyNumberFormat="1" applyFont="1" applyBorder="1"/>
    <xf numFmtId="168" fontId="4" fillId="3" borderId="134" xfId="0" applyNumberFormat="1" applyFont="1" applyFill="1" applyBorder="1" applyProtection="1">
      <protection locked="0"/>
    </xf>
    <xf numFmtId="8" fontId="4" fillId="3" borderId="135" xfId="0" applyNumberFormat="1" applyFont="1" applyFill="1" applyBorder="1" applyProtection="1">
      <protection locked="0"/>
    </xf>
    <xf numFmtId="8" fontId="4" fillId="3" borderId="110" xfId="0" applyNumberFormat="1" applyFont="1" applyFill="1" applyBorder="1" applyProtection="1">
      <protection locked="0"/>
    </xf>
    <xf numFmtId="8" fontId="4" fillId="0" borderId="136" xfId="0" applyNumberFormat="1" applyFont="1" applyBorder="1"/>
    <xf numFmtId="8" fontId="4" fillId="0" borderId="137" xfId="0" applyNumberFormat="1" applyFont="1" applyBorder="1"/>
    <xf numFmtId="8" fontId="4" fillId="0" borderId="138" xfId="0" applyNumberFormat="1" applyFont="1" applyBorder="1"/>
    <xf numFmtId="8" fontId="4" fillId="0" borderId="139" xfId="0" applyNumberFormat="1" applyFont="1" applyBorder="1"/>
    <xf numFmtId="8" fontId="4" fillId="3" borderId="140" xfId="0" applyNumberFormat="1" applyFont="1" applyFill="1" applyBorder="1" applyProtection="1">
      <protection locked="0"/>
    </xf>
    <xf numFmtId="167" fontId="4" fillId="3" borderId="141" xfId="0" applyNumberFormat="1" applyFont="1" applyFill="1" applyBorder="1" applyAlignment="1" applyProtection="1">
      <alignment horizontal="center"/>
      <protection locked="0"/>
    </xf>
    <xf numFmtId="168" fontId="4" fillId="0" borderId="119" xfId="0" applyNumberFormat="1" applyFont="1" applyBorder="1"/>
    <xf numFmtId="168" fontId="4" fillId="0" borderId="117" xfId="0" quotePrefix="1" applyNumberFormat="1" applyFont="1" applyBorder="1"/>
    <xf numFmtId="8" fontId="4" fillId="3" borderId="142" xfId="0" quotePrefix="1" applyNumberFormat="1" applyFont="1" applyFill="1" applyBorder="1" applyProtection="1">
      <protection locked="0"/>
    </xf>
    <xf numFmtId="168" fontId="4" fillId="0" borderId="120" xfId="0" applyNumberFormat="1" applyFont="1" applyBorder="1"/>
    <xf numFmtId="3" fontId="4" fillId="0" borderId="143" xfId="0" quotePrefix="1" applyNumberFormat="1" applyFont="1" applyBorder="1" applyAlignment="1">
      <alignment vertical="top"/>
    </xf>
    <xf numFmtId="168" fontId="4" fillId="3" borderId="144" xfId="0" applyNumberFormat="1" applyFont="1" applyFill="1" applyBorder="1" applyAlignment="1" applyProtection="1">
      <alignment vertical="top"/>
      <protection locked="0"/>
    </xf>
    <xf numFmtId="168" fontId="4" fillId="0" borderId="124" xfId="0" applyNumberFormat="1" applyFont="1" applyBorder="1"/>
    <xf numFmtId="168" fontId="4" fillId="0" borderId="145" xfId="0" applyNumberFormat="1" applyFont="1" applyBorder="1"/>
    <xf numFmtId="8" fontId="4" fillId="0" borderId="146" xfId="0" quotePrefix="1" applyNumberFormat="1" applyFont="1" applyBorder="1"/>
    <xf numFmtId="15" fontId="4" fillId="0" borderId="117" xfId="0" applyFont="1" applyBorder="1" applyAlignment="1">
      <alignment horizontal="left"/>
    </xf>
    <xf numFmtId="15" fontId="33" fillId="0" borderId="0" xfId="0" applyFont="1"/>
    <xf numFmtId="168" fontId="4" fillId="4" borderId="147" xfId="0" applyNumberFormat="1" applyFont="1" applyFill="1" applyBorder="1" applyProtection="1">
      <protection locked="0"/>
    </xf>
    <xf numFmtId="168" fontId="4" fillId="4" borderId="100" xfId="0" applyNumberFormat="1" applyFont="1" applyFill="1" applyBorder="1" applyProtection="1">
      <protection locked="0"/>
    </xf>
    <xf numFmtId="168" fontId="4" fillId="4" borderId="148" xfId="0" applyNumberFormat="1" applyFont="1" applyFill="1" applyBorder="1" applyProtection="1">
      <protection locked="0"/>
    </xf>
    <xf numFmtId="168" fontId="4" fillId="4" borderId="102" xfId="0" applyNumberFormat="1" applyFont="1" applyFill="1" applyBorder="1" applyProtection="1">
      <protection locked="0"/>
    </xf>
    <xf numFmtId="1" fontId="16" fillId="3" borderId="115" xfId="0" applyNumberFormat="1" applyFont="1" applyFill="1" applyBorder="1" applyAlignment="1" applyProtection="1">
      <alignment horizontal="center"/>
      <protection locked="0"/>
    </xf>
    <xf numFmtId="15" fontId="4" fillId="3" borderId="117" xfId="0" applyFont="1" applyFill="1" applyBorder="1" applyAlignment="1" applyProtection="1">
      <alignment horizontal="center"/>
      <protection locked="0"/>
    </xf>
    <xf numFmtId="167" fontId="4" fillId="3" borderId="126" xfId="0" applyNumberFormat="1" applyFont="1" applyFill="1" applyBorder="1" applyAlignment="1" applyProtection="1">
      <alignment horizontal="center"/>
      <protection locked="0"/>
    </xf>
    <xf numFmtId="8" fontId="4" fillId="3" borderId="149" xfId="0" applyNumberFormat="1" applyFont="1" applyFill="1" applyBorder="1" applyProtection="1">
      <protection locked="0"/>
    </xf>
    <xf numFmtId="8" fontId="4" fillId="3" borderId="129" xfId="0" applyNumberFormat="1" applyFont="1" applyFill="1" applyBorder="1" applyProtection="1">
      <protection locked="0"/>
    </xf>
    <xf numFmtId="8" fontId="4" fillId="3" borderId="132" xfId="0" applyNumberFormat="1" applyFont="1" applyFill="1" applyBorder="1" applyProtection="1">
      <protection locked="0"/>
    </xf>
    <xf numFmtId="8" fontId="4" fillId="3" borderId="125" xfId="0" applyNumberFormat="1" applyFont="1" applyFill="1" applyBorder="1" applyProtection="1">
      <protection locked="0"/>
    </xf>
    <xf numFmtId="8" fontId="4" fillId="3" borderId="126" xfId="0" applyNumberFormat="1" applyFont="1" applyFill="1" applyBorder="1" applyProtection="1">
      <protection locked="0"/>
    </xf>
    <xf numFmtId="15" fontId="4" fillId="0" borderId="0" xfId="0" applyFont="1" applyAlignment="1" applyProtection="1">
      <alignment horizontal="center"/>
      <protection locked="0"/>
    </xf>
    <xf numFmtId="1" fontId="4" fillId="0" borderId="0" xfId="0" applyNumberFormat="1" applyFont="1" applyProtection="1">
      <protection locked="0"/>
    </xf>
    <xf numFmtId="167" fontId="4" fillId="0" borderId="0" xfId="0" applyNumberFormat="1" applyFont="1"/>
    <xf numFmtId="170" fontId="4" fillId="0" borderId="0" xfId="0" applyNumberFormat="1" applyFont="1" applyProtection="1"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15" fontId="4" fillId="0" borderId="150" xfId="0" applyFont="1" applyBorder="1"/>
    <xf numFmtId="166" fontId="4" fillId="0" borderId="24" xfId="0" applyNumberFormat="1" applyFont="1" applyBorder="1"/>
    <xf numFmtId="4" fontId="4" fillId="0" borderId="29" xfId="0" applyNumberFormat="1" applyFont="1" applyBorder="1"/>
    <xf numFmtId="15" fontId="0" fillId="0" borderId="151" xfId="0" applyBorder="1" applyAlignment="1" applyProtection="1">
      <alignment horizontal="center"/>
      <protection locked="0"/>
    </xf>
    <xf numFmtId="170" fontId="4" fillId="0" borderId="82" xfId="0" applyNumberFormat="1" applyFont="1" applyBorder="1" applyProtection="1">
      <protection locked="0"/>
    </xf>
    <xf numFmtId="1" fontId="32" fillId="3" borderId="83" xfId="0" applyNumberFormat="1" applyFont="1" applyFill="1" applyBorder="1" applyAlignment="1" applyProtection="1">
      <alignment horizontal="center"/>
      <protection locked="0"/>
    </xf>
    <xf numFmtId="15" fontId="4" fillId="0" borderId="66" xfId="0" applyFont="1" applyBorder="1"/>
    <xf numFmtId="170" fontId="4" fillId="0" borderId="152" xfId="0" applyNumberFormat="1" applyFont="1" applyBorder="1" applyProtection="1">
      <protection locked="0"/>
    </xf>
    <xf numFmtId="1" fontId="34" fillId="3" borderId="84" xfId="0" applyNumberFormat="1" applyFont="1" applyFill="1" applyBorder="1" applyAlignment="1" applyProtection="1">
      <alignment horizontal="center"/>
      <protection locked="0"/>
    </xf>
    <xf numFmtId="170" fontId="4" fillId="0" borderId="11" xfId="0" applyNumberFormat="1" applyFont="1" applyBorder="1" applyProtection="1">
      <protection locked="0"/>
    </xf>
    <xf numFmtId="170" fontId="4" fillId="0" borderId="5" xfId="0" applyNumberFormat="1" applyFont="1" applyBorder="1" applyProtection="1">
      <protection locked="0"/>
    </xf>
    <xf numFmtId="170" fontId="4" fillId="0" borderId="8" xfId="0" applyNumberFormat="1" applyFont="1" applyBorder="1" applyProtection="1">
      <protection locked="0"/>
    </xf>
    <xf numFmtId="15" fontId="0" fillId="0" borderId="0" xfId="0" applyProtection="1">
      <protection locked="0"/>
    </xf>
    <xf numFmtId="1" fontId="4" fillId="2" borderId="24" xfId="0" applyNumberFormat="1" applyFont="1" applyFill="1" applyBorder="1"/>
    <xf numFmtId="170" fontId="4" fillId="0" borderId="72" xfId="0" applyNumberFormat="1" applyFont="1" applyBorder="1"/>
    <xf numFmtId="170" fontId="4" fillId="0" borderId="84" xfId="0" applyNumberFormat="1" applyFont="1" applyBorder="1"/>
    <xf numFmtId="2" fontId="29" fillId="0" borderId="52" xfId="0" applyNumberFormat="1" applyFont="1" applyBorder="1" applyAlignment="1">
      <alignment horizontal="center"/>
    </xf>
    <xf numFmtId="15" fontId="7" fillId="0" borderId="0" xfId="0" applyFont="1"/>
    <xf numFmtId="15" fontId="34" fillId="0" borderId="0" xfId="0" applyFont="1"/>
    <xf numFmtId="168" fontId="3" fillId="0" borderId="0" xfId="0" applyNumberFormat="1" applyFont="1" applyAlignment="1">
      <alignment vertical="center"/>
    </xf>
    <xf numFmtId="15" fontId="0" fillId="0" borderId="6" xfId="0" applyBorder="1" applyAlignment="1">
      <alignment horizontal="right"/>
    </xf>
    <xf numFmtId="170" fontId="4" fillId="0" borderId="55" xfId="0" applyNumberFormat="1" applyFont="1" applyBorder="1"/>
    <xf numFmtId="168" fontId="3" fillId="0" borderId="5" xfId="0" applyNumberFormat="1" applyFont="1" applyBorder="1" applyAlignment="1">
      <alignment vertical="center"/>
    </xf>
    <xf numFmtId="168" fontId="3" fillId="0" borderId="18" xfId="0" applyNumberFormat="1" applyFont="1" applyBorder="1" applyAlignment="1">
      <alignment vertical="center"/>
    </xf>
    <xf numFmtId="168" fontId="3" fillId="0" borderId="13" xfId="0" applyNumberFormat="1" applyFont="1" applyBorder="1" applyAlignment="1">
      <alignment vertical="center"/>
    </xf>
    <xf numFmtId="8" fontId="0" fillId="3" borderId="121" xfId="0" applyNumberFormat="1" applyFill="1" applyBorder="1" applyProtection="1">
      <protection locked="0"/>
    </xf>
    <xf numFmtId="15" fontId="0" fillId="3" borderId="154" xfId="0" applyFill="1" applyBorder="1" applyAlignment="1" applyProtection="1">
      <alignment horizontal="center"/>
      <protection locked="0"/>
    </xf>
    <xf numFmtId="170" fontId="4" fillId="3" borderId="80" xfId="0" applyNumberFormat="1" applyFont="1" applyFill="1" applyBorder="1" applyProtection="1">
      <protection locked="0"/>
    </xf>
    <xf numFmtId="15" fontId="4" fillId="3" borderId="116" xfId="0" applyFont="1" applyFill="1" applyBorder="1" applyAlignment="1" applyProtection="1">
      <alignment horizontal="center"/>
      <protection locked="0"/>
    </xf>
    <xf numFmtId="15" fontId="4" fillId="3" borderId="115" xfId="0" applyFont="1" applyFill="1" applyBorder="1" applyAlignment="1" applyProtection="1">
      <alignment horizontal="center"/>
      <protection locked="0"/>
    </xf>
    <xf numFmtId="15" fontId="0" fillId="3" borderId="156" xfId="0" applyFill="1" applyBorder="1" applyAlignment="1" applyProtection="1">
      <alignment horizontal="center"/>
      <protection locked="0"/>
    </xf>
    <xf numFmtId="15" fontId="0" fillId="3" borderId="157" xfId="0" applyFill="1" applyBorder="1" applyAlignment="1" applyProtection="1">
      <alignment horizontal="center"/>
      <protection locked="0"/>
    </xf>
    <xf numFmtId="15" fontId="0" fillId="3" borderId="115" xfId="0" applyFill="1" applyBorder="1" applyAlignment="1" applyProtection="1">
      <alignment horizontal="center"/>
      <protection locked="0"/>
    </xf>
    <xf numFmtId="15" fontId="0" fillId="3" borderId="118" xfId="0" applyFill="1" applyBorder="1" applyAlignment="1" applyProtection="1">
      <alignment horizontal="center"/>
      <protection locked="0"/>
    </xf>
    <xf numFmtId="6" fontId="41" fillId="0" borderId="158" xfId="22" applyNumberFormat="1" applyFont="1" applyBorder="1" applyAlignment="1">
      <alignment horizontal="right" vertical="center"/>
    </xf>
    <xf numFmtId="169" fontId="41" fillId="0" borderId="158" xfId="21" applyNumberFormat="1" applyFont="1" applyBorder="1" applyAlignment="1">
      <alignment horizontal="right" vertical="center" wrapText="1"/>
    </xf>
    <xf numFmtId="168" fontId="4" fillId="0" borderId="26" xfId="0" applyNumberFormat="1" applyFont="1" applyBorder="1" applyAlignment="1">
      <alignment vertical="center"/>
    </xf>
    <xf numFmtId="168" fontId="4" fillId="0" borderId="11" xfId="0" applyNumberFormat="1" applyFont="1" applyBorder="1" applyAlignment="1">
      <alignment horizontal="right" vertical="center"/>
    </xf>
    <xf numFmtId="168" fontId="0" fillId="0" borderId="22" xfId="0" applyNumberFormat="1" applyBorder="1"/>
    <xf numFmtId="0" fontId="41" fillId="0" borderId="134" xfId="20" applyFont="1" applyBorder="1" applyAlignment="1">
      <alignment horizontal="center" vertical="top"/>
    </xf>
    <xf numFmtId="3" fontId="0" fillId="0" borderId="159" xfId="0" applyNumberFormat="1" applyBorder="1"/>
    <xf numFmtId="3" fontId="0" fillId="0" borderId="151" xfId="0" applyNumberFormat="1" applyBorder="1"/>
    <xf numFmtId="3" fontId="0" fillId="0" borderId="114" xfId="0" applyNumberFormat="1" applyBorder="1"/>
    <xf numFmtId="3" fontId="0" fillId="0" borderId="134" xfId="0" applyNumberFormat="1" applyBorder="1" applyAlignment="1">
      <alignment horizontal="center"/>
    </xf>
    <xf numFmtId="3" fontId="0" fillId="0" borderId="134" xfId="0" applyNumberFormat="1" applyBorder="1"/>
    <xf numFmtId="15" fontId="0" fillId="3" borderId="9" xfId="0" applyFill="1" applyBorder="1" applyAlignment="1" applyProtection="1">
      <alignment horizontal="center"/>
      <protection locked="0"/>
    </xf>
    <xf numFmtId="170" fontId="0" fillId="3" borderId="108" xfId="0" applyNumberFormat="1" applyFill="1" applyBorder="1" applyAlignment="1" applyProtection="1">
      <alignment horizontal="left" wrapText="1"/>
      <protection locked="0"/>
    </xf>
    <xf numFmtId="170" fontId="0" fillId="0" borderId="52" xfId="0" applyNumberFormat="1" applyBorder="1"/>
    <xf numFmtId="168" fontId="0" fillId="3" borderId="142" xfId="0" applyNumberFormat="1" applyFill="1" applyBorder="1" applyProtection="1">
      <protection locked="0"/>
    </xf>
    <xf numFmtId="170" fontId="7" fillId="0" borderId="0" xfId="0" applyNumberFormat="1" applyFont="1"/>
    <xf numFmtId="15" fontId="0" fillId="3" borderId="123" xfId="0" applyFill="1" applyBorder="1" applyAlignment="1" applyProtection="1">
      <alignment horizontal="center"/>
      <protection locked="0"/>
    </xf>
    <xf numFmtId="15" fontId="4" fillId="0" borderId="9" xfId="0" applyFont="1" applyBorder="1" applyAlignment="1" applyProtection="1">
      <alignment horizontal="center"/>
      <protection locked="0"/>
    </xf>
    <xf numFmtId="1" fontId="4" fillId="0" borderId="10" xfId="0" applyNumberFormat="1" applyFont="1" applyBorder="1" applyAlignment="1" applyProtection="1">
      <alignment horizontal="center"/>
      <protection locked="0"/>
    </xf>
    <xf numFmtId="1" fontId="4" fillId="0" borderId="31" xfId="0" applyNumberFormat="1" applyFont="1" applyBorder="1" applyAlignment="1" applyProtection="1">
      <alignment horizontal="center"/>
      <protection locked="0"/>
    </xf>
    <xf numFmtId="167" fontId="4" fillId="0" borderId="10" xfId="0" applyNumberFormat="1" applyFont="1" applyBorder="1"/>
    <xf numFmtId="170" fontId="4" fillId="0" borderId="38" xfId="0" applyNumberFormat="1" applyFont="1" applyBorder="1" applyProtection="1">
      <protection locked="0"/>
    </xf>
    <xf numFmtId="170" fontId="4" fillId="0" borderId="10" xfId="0" applyNumberFormat="1" applyFont="1" applyBorder="1" applyProtection="1">
      <protection locked="0"/>
    </xf>
    <xf numFmtId="170" fontId="4" fillId="0" borderId="72" xfId="0" applyNumberFormat="1" applyFont="1" applyBorder="1" applyProtection="1">
      <protection locked="0"/>
    </xf>
    <xf numFmtId="2" fontId="29" fillId="0" borderId="90" xfId="0" applyNumberFormat="1" applyFont="1" applyBorder="1" applyAlignment="1">
      <alignment horizontal="center"/>
    </xf>
    <xf numFmtId="170" fontId="4" fillId="0" borderId="70" xfId="0" applyNumberFormat="1" applyFont="1" applyBorder="1" applyProtection="1">
      <protection locked="0"/>
    </xf>
    <xf numFmtId="170" fontId="4" fillId="0" borderId="45" xfId="0" applyNumberFormat="1" applyFont="1" applyBorder="1" applyProtection="1">
      <protection locked="0"/>
    </xf>
    <xf numFmtId="1" fontId="4" fillId="0" borderId="11" xfId="0" applyNumberFormat="1" applyFont="1" applyBorder="1" applyAlignment="1" applyProtection="1">
      <alignment horizontal="center"/>
      <protection locked="0"/>
    </xf>
    <xf numFmtId="1" fontId="4" fillId="0" borderId="32" xfId="0" applyNumberFormat="1" applyFont="1" applyBorder="1" applyAlignment="1" applyProtection="1">
      <alignment horizontal="center"/>
      <protection locked="0"/>
    </xf>
    <xf numFmtId="167" fontId="4" fillId="0" borderId="11" xfId="0" applyNumberFormat="1" applyFont="1" applyBorder="1"/>
    <xf numFmtId="170" fontId="4" fillId="0" borderId="22" xfId="0" applyNumberFormat="1" applyFont="1" applyBorder="1" applyProtection="1">
      <protection locked="0"/>
    </xf>
    <xf numFmtId="170" fontId="4" fillId="0" borderId="51" xfId="0" applyNumberFormat="1" applyFont="1" applyBorder="1" applyProtection="1">
      <protection locked="0"/>
    </xf>
    <xf numFmtId="2" fontId="29" fillId="0" borderId="91" xfId="0" applyNumberFormat="1" applyFont="1" applyBorder="1" applyAlignment="1">
      <alignment horizontal="center"/>
    </xf>
    <xf numFmtId="170" fontId="4" fillId="0" borderId="12" xfId="0" applyNumberFormat="1" applyFont="1" applyBorder="1" applyProtection="1">
      <protection locked="0"/>
    </xf>
    <xf numFmtId="2" fontId="29" fillId="0" borderId="51" xfId="0" applyNumberFormat="1" applyFont="1" applyBorder="1" applyAlignment="1">
      <alignment horizontal="center"/>
    </xf>
    <xf numFmtId="170" fontId="4" fillId="0" borderId="46" xfId="0" applyNumberFormat="1" applyFont="1" applyBorder="1" applyProtection="1">
      <protection locked="0"/>
    </xf>
    <xf numFmtId="15" fontId="4" fillId="0" borderId="150" xfId="0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" fontId="4" fillId="0" borderId="97" xfId="0" applyNumberFormat="1" applyFont="1" applyBorder="1" applyAlignment="1">
      <alignment horizontal="center"/>
    </xf>
    <xf numFmtId="167" fontId="4" fillId="2" borderId="24" xfId="0" applyNumberFormat="1" applyFont="1" applyFill="1" applyBorder="1"/>
    <xf numFmtId="170" fontId="4" fillId="0" borderId="99" xfId="0" applyNumberFormat="1" applyFont="1" applyBorder="1"/>
    <xf numFmtId="8" fontId="4" fillId="0" borderId="30" xfId="0" applyNumberFormat="1" applyFont="1" applyBorder="1"/>
    <xf numFmtId="1" fontId="32" fillId="3" borderId="160" xfId="0" applyNumberFormat="1" applyFont="1" applyFill="1" applyBorder="1" applyAlignment="1" applyProtection="1">
      <alignment horizontal="center"/>
      <protection locked="0"/>
    </xf>
    <xf numFmtId="15" fontId="4" fillId="0" borderId="10" xfId="0" applyFont="1" applyBorder="1" applyAlignment="1" applyProtection="1">
      <alignment horizontal="center"/>
      <protection locked="0"/>
    </xf>
    <xf numFmtId="15" fontId="4" fillId="0" borderId="72" xfId="0" applyFont="1" applyBorder="1"/>
    <xf numFmtId="2" fontId="29" fillId="0" borderId="31" xfId="0" applyNumberFormat="1" applyFont="1" applyBorder="1" applyAlignment="1">
      <alignment horizontal="center"/>
    </xf>
    <xf numFmtId="15" fontId="3" fillId="0" borderId="0" xfId="0" applyFont="1" applyAlignment="1">
      <alignment horizontal="left" wrapText="1"/>
    </xf>
    <xf numFmtId="15" fontId="0" fillId="0" borderId="0" xfId="0" applyAlignment="1">
      <alignment horizontal="right"/>
    </xf>
    <xf numFmtId="15" fontId="0" fillId="0" borderId="0" xfId="0" quotePrefix="1" applyAlignment="1">
      <alignment horizontal="center"/>
    </xf>
    <xf numFmtId="170" fontId="4" fillId="0" borderId="0" xfId="0" applyNumberFormat="1" applyFont="1" applyAlignment="1" applyProtection="1">
      <alignment horizontal="left" wrapText="1"/>
      <protection locked="0"/>
    </xf>
    <xf numFmtId="170" fontId="0" fillId="0" borderId="0" xfId="0" applyNumberFormat="1" applyAlignment="1">
      <alignment horizontal="right"/>
    </xf>
    <xf numFmtId="1" fontId="4" fillId="0" borderId="0" xfId="0" applyNumberFormat="1" applyFont="1" applyAlignment="1">
      <alignment horizontal="right"/>
    </xf>
    <xf numFmtId="1" fontId="34" fillId="0" borderId="0" xfId="0" applyNumberFormat="1" applyFont="1" applyAlignment="1" applyProtection="1">
      <alignment horizontal="center"/>
      <protection locked="0"/>
    </xf>
    <xf numFmtId="1" fontId="32" fillId="0" borderId="0" xfId="0" applyNumberFormat="1" applyFont="1" applyAlignment="1" applyProtection="1">
      <alignment horizontal="center"/>
      <protection locked="0"/>
    </xf>
    <xf numFmtId="170" fontId="0" fillId="0" borderId="0" xfId="0" applyNumberFormat="1" applyAlignment="1" applyProtection="1">
      <alignment horizontal="left" wrapText="1"/>
      <protection locked="0"/>
    </xf>
    <xf numFmtId="170" fontId="4" fillId="0" borderId="19" xfId="0" applyNumberFormat="1" applyFont="1" applyBorder="1" applyProtection="1">
      <protection locked="0"/>
    </xf>
    <xf numFmtId="170" fontId="0" fillId="0" borderId="6" xfId="0" applyNumberFormat="1" applyBorder="1" applyAlignment="1">
      <alignment horizontal="right"/>
    </xf>
    <xf numFmtId="175" fontId="0" fillId="0" borderId="8" xfId="0" applyNumberFormat="1" applyBorder="1" applyAlignment="1">
      <alignment horizontal="center"/>
    </xf>
    <xf numFmtId="15" fontId="0" fillId="3" borderId="117" xfId="0" applyFill="1" applyBorder="1" applyAlignment="1" applyProtection="1">
      <alignment horizontal="left"/>
      <protection locked="0"/>
    </xf>
    <xf numFmtId="8" fontId="0" fillId="3" borderId="155" xfId="0" applyNumberFormat="1" applyFill="1" applyBorder="1" applyProtection="1">
      <protection locked="0"/>
    </xf>
    <xf numFmtId="168" fontId="4" fillId="0" borderId="161" xfId="0" applyNumberFormat="1" applyFont="1" applyBorder="1" applyAlignment="1">
      <alignment wrapText="1"/>
    </xf>
    <xf numFmtId="168" fontId="0" fillId="0" borderId="161" xfId="0" applyNumberFormat="1" applyBorder="1" applyAlignment="1">
      <alignment wrapText="1"/>
    </xf>
    <xf numFmtId="170" fontId="4" fillId="3" borderId="162" xfId="0" applyNumberFormat="1" applyFont="1" applyFill="1" applyBorder="1" applyAlignment="1" applyProtection="1">
      <alignment horizontal="left" wrapText="1"/>
      <protection locked="0"/>
    </xf>
    <xf numFmtId="170" fontId="4" fillId="3" borderId="163" xfId="0" applyNumberFormat="1" applyFont="1" applyFill="1" applyBorder="1" applyProtection="1">
      <protection locked="0"/>
    </xf>
    <xf numFmtId="170" fontId="4" fillId="3" borderId="164" xfId="0" applyNumberFormat="1" applyFont="1" applyFill="1" applyBorder="1" applyProtection="1">
      <protection locked="0"/>
    </xf>
    <xf numFmtId="170" fontId="4" fillId="3" borderId="145" xfId="0" applyNumberFormat="1" applyFont="1" applyFill="1" applyBorder="1" applyProtection="1">
      <protection locked="0"/>
    </xf>
    <xf numFmtId="1" fontId="4" fillId="2" borderId="11" xfId="0" applyNumberFormat="1" applyFont="1" applyFill="1" applyBorder="1"/>
    <xf numFmtId="8" fontId="4" fillId="0" borderId="89" xfId="0" applyNumberFormat="1" applyFont="1" applyBorder="1"/>
    <xf numFmtId="15" fontId="0" fillId="0" borderId="3" xfId="0" applyBorder="1" applyAlignment="1" applyProtection="1">
      <alignment horizontal="center"/>
      <protection locked="0"/>
    </xf>
    <xf numFmtId="15" fontId="4" fillId="0" borderId="165" xfId="0" applyFont="1" applyBorder="1"/>
    <xf numFmtId="170" fontId="4" fillId="3" borderId="166" xfId="0" applyNumberFormat="1" applyFont="1" applyFill="1" applyBorder="1" applyAlignment="1" applyProtection="1">
      <alignment horizontal="left" wrapText="1"/>
      <protection locked="0"/>
    </xf>
    <xf numFmtId="170" fontId="4" fillId="3" borderId="140" xfId="0" applyNumberFormat="1" applyFont="1" applyFill="1" applyBorder="1" applyProtection="1">
      <protection locked="0"/>
    </xf>
    <xf numFmtId="170" fontId="4" fillId="3" borderId="167" xfId="0" applyNumberFormat="1" applyFont="1" applyFill="1" applyBorder="1" applyProtection="1">
      <protection locked="0"/>
    </xf>
    <xf numFmtId="170" fontId="4" fillId="3" borderId="168" xfId="0" applyNumberFormat="1" applyFont="1" applyFill="1" applyBorder="1" applyProtection="1">
      <protection locked="0"/>
    </xf>
    <xf numFmtId="170" fontId="4" fillId="0" borderId="140" xfId="0" applyNumberFormat="1" applyFont="1" applyBorder="1" applyProtection="1">
      <protection locked="0"/>
    </xf>
    <xf numFmtId="170" fontId="4" fillId="0" borderId="169" xfId="0" applyNumberFormat="1" applyFont="1" applyBorder="1" applyProtection="1">
      <protection locked="0"/>
    </xf>
    <xf numFmtId="170" fontId="4" fillId="0" borderId="122" xfId="0" applyNumberFormat="1" applyFont="1" applyBorder="1" applyProtection="1">
      <protection locked="0"/>
    </xf>
    <xf numFmtId="15" fontId="0" fillId="0" borderId="168" xfId="0" applyBorder="1" applyProtection="1">
      <protection locked="0"/>
    </xf>
    <xf numFmtId="168" fontId="5" fillId="2" borderId="0" xfId="0" applyNumberFormat="1" applyFont="1" applyFill="1" applyAlignment="1">
      <alignment vertical="center"/>
    </xf>
    <xf numFmtId="168" fontId="4" fillId="2" borderId="0" xfId="0" applyNumberFormat="1" applyFont="1" applyFill="1" applyAlignment="1">
      <alignment vertical="center"/>
    </xf>
    <xf numFmtId="168" fontId="31" fillId="2" borderId="0" xfId="0" applyNumberFormat="1" applyFont="1" applyFill="1" applyAlignment="1">
      <alignment vertical="center"/>
    </xf>
    <xf numFmtId="15" fontId="31" fillId="2" borderId="0" xfId="0" applyFont="1" applyFill="1" applyAlignment="1">
      <alignment vertical="center"/>
    </xf>
    <xf numFmtId="168" fontId="21" fillId="0" borderId="0" xfId="0" applyNumberFormat="1" applyFont="1" applyAlignment="1">
      <alignment vertical="center"/>
    </xf>
    <xf numFmtId="1" fontId="19" fillId="0" borderId="0" xfId="0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168" fontId="20" fillId="0" borderId="0" xfId="0" applyNumberFormat="1" applyFont="1" applyAlignment="1">
      <alignment vertical="center"/>
    </xf>
    <xf numFmtId="168" fontId="9" fillId="0" borderId="0" xfId="0" applyNumberFormat="1" applyFont="1" applyAlignment="1">
      <alignment vertical="center"/>
    </xf>
    <xf numFmtId="15" fontId="9" fillId="0" borderId="0" xfId="0" applyFont="1" applyAlignment="1">
      <alignment vertical="center"/>
    </xf>
    <xf numFmtId="171" fontId="22" fillId="0" borderId="0" xfId="0" applyNumberFormat="1" applyFont="1" applyAlignment="1">
      <alignment horizontal="right" vertical="center"/>
    </xf>
    <xf numFmtId="168" fontId="25" fillId="0" borderId="0" xfId="0" applyNumberFormat="1" applyFont="1" applyAlignment="1">
      <alignment vertical="center"/>
    </xf>
    <xf numFmtId="168" fontId="15" fillId="0" borderId="0" xfId="0" applyNumberFormat="1" applyFont="1" applyAlignment="1">
      <alignment vertical="center"/>
    </xf>
    <xf numFmtId="168" fontId="14" fillId="0" borderId="0" xfId="0" applyNumberFormat="1" applyFont="1" applyAlignment="1">
      <alignment vertical="center"/>
    </xf>
    <xf numFmtId="168" fontId="4" fillId="0" borderId="44" xfId="0" applyNumberFormat="1" applyFont="1" applyBorder="1" applyAlignment="1">
      <alignment vertical="center"/>
    </xf>
    <xf numFmtId="168" fontId="4" fillId="0" borderId="4" xfId="0" applyNumberFormat="1" applyFont="1" applyBorder="1" applyAlignment="1">
      <alignment vertical="center"/>
    </xf>
    <xf numFmtId="15" fontId="4" fillId="0" borderId="2" xfId="0" applyFont="1" applyBorder="1" applyAlignment="1">
      <alignment vertical="center"/>
    </xf>
    <xf numFmtId="8" fontId="4" fillId="0" borderId="4" xfId="0" applyNumberFormat="1" applyFont="1" applyBorder="1" applyAlignment="1">
      <alignment vertical="center"/>
    </xf>
    <xf numFmtId="168" fontId="7" fillId="0" borderId="0" xfId="0" applyNumberFormat="1" applyFont="1" applyAlignment="1">
      <alignment vertical="center"/>
    </xf>
    <xf numFmtId="168" fontId="39" fillId="0" borderId="0" xfId="0" applyNumberFormat="1" applyFont="1" applyAlignment="1">
      <alignment horizontal="right" vertical="center"/>
    </xf>
    <xf numFmtId="8" fontId="4" fillId="0" borderId="5" xfId="0" applyNumberFormat="1" applyFont="1" applyBorder="1" applyAlignment="1">
      <alignment vertical="center"/>
    </xf>
    <xf numFmtId="168" fontId="4" fillId="0" borderId="0" xfId="0" applyNumberFormat="1" applyFont="1" applyAlignment="1">
      <alignment horizontal="left" vertical="center"/>
    </xf>
    <xf numFmtId="168" fontId="6" fillId="0" borderId="0" xfId="0" applyNumberFormat="1" applyFont="1" applyAlignment="1">
      <alignment horizontal="left" vertical="center"/>
    </xf>
    <xf numFmtId="168" fontId="4" fillId="0" borderId="170" xfId="0" applyNumberFormat="1" applyFont="1" applyBorder="1" applyAlignment="1">
      <alignment vertical="center"/>
    </xf>
    <xf numFmtId="168" fontId="4" fillId="0" borderId="20" xfId="0" applyNumberFormat="1" applyFont="1" applyBorder="1" applyAlignment="1">
      <alignment vertical="center"/>
    </xf>
    <xf numFmtId="8" fontId="4" fillId="0" borderId="69" xfId="0" applyNumberFormat="1" applyFont="1" applyBorder="1" applyAlignment="1">
      <alignment vertical="center"/>
    </xf>
    <xf numFmtId="168" fontId="4" fillId="0" borderId="8" xfId="0" applyNumberFormat="1" applyFont="1" applyBorder="1" applyAlignment="1">
      <alignment horizontal="left" vertical="center"/>
    </xf>
    <xf numFmtId="168" fontId="0" fillId="0" borderId="0" xfId="0" applyNumberFormat="1" applyAlignment="1">
      <alignment vertical="center"/>
    </xf>
    <xf numFmtId="168" fontId="18" fillId="0" borderId="0" xfId="0" applyNumberFormat="1" applyFont="1" applyAlignment="1">
      <alignment vertical="center"/>
    </xf>
    <xf numFmtId="15" fontId="41" fillId="0" borderId="8" xfId="0" applyFont="1" applyBorder="1" applyAlignment="1">
      <alignment vertical="center"/>
    </xf>
    <xf numFmtId="168" fontId="4" fillId="0" borderId="5" xfId="0" applyNumberFormat="1" applyFont="1" applyBorder="1" applyAlignment="1">
      <alignment vertical="center"/>
    </xf>
    <xf numFmtId="168" fontId="4" fillId="0" borderId="61" xfId="0" applyNumberFormat="1" applyFont="1" applyBorder="1" applyAlignment="1">
      <alignment vertical="center"/>
    </xf>
    <xf numFmtId="168" fontId="4" fillId="0" borderId="1" xfId="0" applyNumberFormat="1" applyFont="1" applyBorder="1" applyAlignment="1">
      <alignment vertical="center"/>
    </xf>
    <xf numFmtId="168" fontId="4" fillId="0" borderId="68" xfId="0" applyNumberFormat="1" applyFont="1" applyBorder="1" applyAlignment="1">
      <alignment vertical="center"/>
    </xf>
    <xf numFmtId="168" fontId="0" fillId="0" borderId="96" xfId="0" applyNumberFormat="1" applyBorder="1" applyAlignment="1">
      <alignment vertical="center"/>
    </xf>
    <xf numFmtId="8" fontId="4" fillId="0" borderId="5" xfId="0" quotePrefix="1" applyNumberFormat="1" applyFont="1" applyBorder="1" applyAlignment="1">
      <alignment vertical="center"/>
    </xf>
    <xf numFmtId="168" fontId="4" fillId="0" borderId="15" xfId="0" applyNumberFormat="1" applyFont="1" applyBorder="1" applyAlignment="1">
      <alignment vertical="center"/>
    </xf>
    <xf numFmtId="168" fontId="4" fillId="0" borderId="16" xfId="0" applyNumberFormat="1" applyFont="1" applyBorder="1" applyAlignment="1">
      <alignment vertical="center"/>
    </xf>
    <xf numFmtId="168" fontId="4" fillId="0" borderId="17" xfId="0" applyNumberFormat="1" applyFont="1" applyBorder="1" applyAlignment="1">
      <alignment vertical="center"/>
    </xf>
    <xf numFmtId="172" fontId="4" fillId="0" borderId="0" xfId="0" applyNumberFormat="1" applyFont="1" applyAlignment="1">
      <alignment vertical="center"/>
    </xf>
    <xf numFmtId="168" fontId="8" fillId="0" borderId="0" xfId="0" applyNumberFormat="1" applyFont="1" applyAlignment="1">
      <alignment vertical="center"/>
    </xf>
    <xf numFmtId="168" fontId="4" fillId="0" borderId="7" xfId="0" applyNumberFormat="1" applyFont="1" applyBorder="1" applyAlignment="1">
      <alignment vertical="center"/>
    </xf>
    <xf numFmtId="1" fontId="4" fillId="0" borderId="8" xfId="0" quotePrefix="1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168" fontId="4" fillId="0" borderId="171" xfId="0" applyNumberFormat="1" applyFont="1" applyBorder="1" applyAlignment="1">
      <alignment vertical="center"/>
    </xf>
    <xf numFmtId="168" fontId="4" fillId="0" borderId="18" xfId="0" applyNumberFormat="1" applyFont="1" applyBorder="1" applyAlignment="1">
      <alignment vertical="center"/>
    </xf>
    <xf numFmtId="1" fontId="4" fillId="0" borderId="171" xfId="0" quotePrefix="1" applyNumberFormat="1" applyFont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8" fontId="4" fillId="0" borderId="56" xfId="0" applyNumberFormat="1" applyFont="1" applyBorder="1" applyAlignment="1">
      <alignment vertical="center"/>
    </xf>
    <xf numFmtId="168" fontId="4" fillId="0" borderId="0" xfId="0" applyNumberFormat="1" applyFont="1" applyAlignment="1">
      <alignment horizontal="right" vertical="center"/>
    </xf>
    <xf numFmtId="168" fontId="4" fillId="0" borderId="3" xfId="0" applyNumberFormat="1" applyFont="1" applyBorder="1" applyAlignment="1">
      <alignment vertical="center"/>
    </xf>
    <xf numFmtId="168" fontId="4" fillId="0" borderId="172" xfId="0" applyNumberFormat="1" applyFont="1" applyBorder="1" applyAlignment="1">
      <alignment vertical="center"/>
    </xf>
    <xf numFmtId="168" fontId="6" fillId="0" borderId="0" xfId="0" applyNumberFormat="1" applyFont="1" applyAlignment="1">
      <alignment vertical="center"/>
    </xf>
    <xf numFmtId="8" fontId="4" fillId="0" borderId="14" xfId="0" applyNumberFormat="1" applyFont="1" applyBorder="1" applyAlignment="1">
      <alignment vertical="center"/>
    </xf>
    <xf numFmtId="168" fontId="4" fillId="0" borderId="14" xfId="0" applyNumberFormat="1" applyFont="1" applyBorder="1" applyAlignment="1">
      <alignment vertical="center"/>
    </xf>
    <xf numFmtId="8" fontId="4" fillId="0" borderId="11" xfId="0" applyNumberFormat="1" applyFont="1" applyBorder="1" applyAlignment="1">
      <alignment vertical="center"/>
    </xf>
    <xf numFmtId="168" fontId="4" fillId="0" borderId="69" xfId="0" quotePrefix="1" applyNumberFormat="1" applyFont="1" applyBorder="1" applyAlignment="1">
      <alignment horizontal="right" vertical="center"/>
    </xf>
    <xf numFmtId="168" fontId="4" fillId="0" borderId="11" xfId="0" applyNumberFormat="1" applyFont="1" applyBorder="1" applyAlignment="1">
      <alignment vertical="center"/>
    </xf>
    <xf numFmtId="168" fontId="4" fillId="0" borderId="5" xfId="0" applyNumberFormat="1" applyFont="1" applyBorder="1" applyAlignment="1">
      <alignment horizontal="right" vertical="center"/>
    </xf>
    <xf numFmtId="173" fontId="4" fillId="0" borderId="0" xfId="0" applyNumberFormat="1" applyFont="1" applyAlignment="1">
      <alignment vertical="center"/>
    </xf>
    <xf numFmtId="168" fontId="4" fillId="0" borderId="173" xfId="0" quotePrefix="1" applyNumberFormat="1" applyFont="1" applyBorder="1" applyAlignment="1">
      <alignment vertical="center"/>
    </xf>
    <xf numFmtId="168" fontId="4" fillId="0" borderId="174" xfId="0" quotePrefix="1" applyNumberFormat="1" applyFont="1" applyBorder="1" applyAlignment="1">
      <alignment vertical="center"/>
    </xf>
    <xf numFmtId="168" fontId="4" fillId="0" borderId="62" xfId="0" applyNumberFormat="1" applyFont="1" applyBorder="1" applyAlignment="1">
      <alignment vertical="center"/>
    </xf>
    <xf numFmtId="168" fontId="4" fillId="0" borderId="42" xfId="0" applyNumberFormat="1" applyFont="1" applyBorder="1" applyAlignment="1">
      <alignment vertical="center"/>
    </xf>
    <xf numFmtId="168" fontId="4" fillId="0" borderId="12" xfId="0" applyNumberFormat="1" applyFont="1" applyBorder="1" applyAlignment="1">
      <alignment vertical="center"/>
    </xf>
    <xf numFmtId="8" fontId="4" fillId="0" borderId="12" xfId="0" applyNumberFormat="1" applyFont="1" applyBorder="1" applyAlignment="1">
      <alignment vertical="center"/>
    </xf>
    <xf numFmtId="168" fontId="4" fillId="0" borderId="78" xfId="0" applyNumberFormat="1" applyFont="1" applyBorder="1" applyAlignment="1">
      <alignment vertical="center"/>
    </xf>
    <xf numFmtId="1" fontId="10" fillId="0" borderId="0" xfId="0" applyNumberFormat="1" applyFont="1" applyAlignment="1">
      <alignment horizontal="right" vertical="center"/>
    </xf>
    <xf numFmtId="168" fontId="4" fillId="0" borderId="22" xfId="0" applyNumberFormat="1" applyFont="1" applyBorder="1" applyAlignment="1">
      <alignment vertical="center"/>
    </xf>
    <xf numFmtId="8" fontId="4" fillId="0" borderId="22" xfId="0" applyNumberFormat="1" applyFont="1" applyBorder="1" applyAlignment="1">
      <alignment vertical="center"/>
    </xf>
    <xf numFmtId="168" fontId="9" fillId="0" borderId="0" xfId="0" applyNumberFormat="1" applyFont="1" applyAlignment="1">
      <alignment horizontal="left" vertical="center"/>
    </xf>
    <xf numFmtId="168" fontId="4" fillId="0" borderId="24" xfId="0" applyNumberFormat="1" applyFont="1" applyBorder="1" applyAlignment="1">
      <alignment vertical="center"/>
    </xf>
    <xf numFmtId="168" fontId="4" fillId="0" borderId="64" xfId="0" applyNumberFormat="1" applyFont="1" applyBorder="1" applyAlignment="1">
      <alignment vertical="center"/>
    </xf>
    <xf numFmtId="8" fontId="4" fillId="0" borderId="26" xfId="0" applyNumberFormat="1" applyFont="1" applyBorder="1" applyAlignment="1">
      <alignment vertical="center"/>
    </xf>
    <xf numFmtId="168" fontId="4" fillId="0" borderId="56" xfId="0" applyNumberFormat="1" applyFont="1" applyBorder="1" applyAlignment="1">
      <alignment vertical="center"/>
    </xf>
    <xf numFmtId="168" fontId="4" fillId="0" borderId="58" xfId="0" applyNumberFormat="1" applyFont="1" applyBorder="1" applyAlignment="1">
      <alignment vertical="center"/>
    </xf>
    <xf numFmtId="168" fontId="4" fillId="0" borderId="69" xfId="0" applyNumberFormat="1" applyFont="1" applyBorder="1" applyAlignment="1">
      <alignment horizontal="right" vertical="center"/>
    </xf>
    <xf numFmtId="169" fontId="9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168" fontId="4" fillId="0" borderId="175" xfId="0" applyNumberFormat="1" applyFont="1" applyBorder="1" applyAlignment="1">
      <alignment vertical="center"/>
    </xf>
    <xf numFmtId="168" fontId="4" fillId="0" borderId="58" xfId="0" quotePrefix="1" applyNumberFormat="1" applyFont="1" applyBorder="1" applyAlignment="1">
      <alignment vertical="center"/>
    </xf>
    <xf numFmtId="168" fontId="4" fillId="0" borderId="10" xfId="0" applyNumberFormat="1" applyFont="1" applyBorder="1" applyAlignment="1">
      <alignment vertical="center"/>
    </xf>
    <xf numFmtId="168" fontId="4" fillId="0" borderId="5" xfId="0" quotePrefix="1" applyNumberFormat="1" applyFont="1" applyBorder="1" applyAlignment="1">
      <alignment horizontal="right" vertical="center"/>
    </xf>
    <xf numFmtId="168" fontId="9" fillId="0" borderId="0" xfId="0" applyNumberFormat="1" applyFont="1" applyAlignment="1">
      <alignment horizontal="right" vertical="center"/>
    </xf>
    <xf numFmtId="168" fontId="4" fillId="0" borderId="173" xfId="0" applyNumberFormat="1" applyFont="1" applyBorder="1" applyAlignment="1">
      <alignment vertical="center"/>
    </xf>
    <xf numFmtId="168" fontId="4" fillId="0" borderId="113" xfId="0" applyNumberFormat="1" applyFont="1" applyBorder="1" applyAlignment="1">
      <alignment vertical="center"/>
    </xf>
    <xf numFmtId="168" fontId="4" fillId="0" borderId="56" xfId="0" applyNumberFormat="1" applyFont="1" applyBorder="1" applyAlignment="1">
      <alignment horizontal="left" vertical="center"/>
    </xf>
    <xf numFmtId="168" fontId="13" fillId="0" borderId="0" xfId="0" applyNumberFormat="1" applyFont="1" applyAlignment="1">
      <alignment vertical="center"/>
    </xf>
    <xf numFmtId="8" fontId="4" fillId="0" borderId="177" xfId="0" applyNumberFormat="1" applyFont="1" applyBorder="1" applyAlignment="1">
      <alignment vertical="center"/>
    </xf>
    <xf numFmtId="8" fontId="9" fillId="0" borderId="0" xfId="0" applyNumberFormat="1" applyFont="1" applyAlignment="1">
      <alignment vertical="center"/>
    </xf>
    <xf numFmtId="168" fontId="4" fillId="0" borderId="11" xfId="0" quotePrefix="1" applyNumberFormat="1" applyFont="1" applyBorder="1" applyAlignment="1">
      <alignment vertical="center"/>
    </xf>
    <xf numFmtId="168" fontId="4" fillId="0" borderId="6" xfId="0" applyNumberFormat="1" applyFont="1" applyBorder="1" applyAlignment="1">
      <alignment vertical="center"/>
    </xf>
    <xf numFmtId="168" fontId="18" fillId="0" borderId="0" xfId="0" applyNumberFormat="1" applyFont="1" applyAlignment="1">
      <alignment horizontal="center" vertical="center"/>
    </xf>
    <xf numFmtId="8" fontId="4" fillId="0" borderId="67" xfId="0" applyNumberFormat="1" applyFont="1" applyBorder="1" applyAlignment="1">
      <alignment vertical="center"/>
    </xf>
    <xf numFmtId="168" fontId="18" fillId="0" borderId="0" xfId="0" applyNumberFormat="1" applyFont="1" applyAlignment="1">
      <alignment horizontal="right" vertical="center"/>
    </xf>
    <xf numFmtId="168" fontId="2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8" fontId="10" fillId="0" borderId="0" xfId="0" applyNumberFormat="1" applyFont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68" fontId="4" fillId="0" borderId="27" xfId="0" applyNumberFormat="1" applyFont="1" applyBorder="1" applyAlignment="1">
      <alignment vertical="center"/>
    </xf>
    <xf numFmtId="168" fontId="4" fillId="0" borderId="67" xfId="0" applyNumberFormat="1" applyFont="1" applyBorder="1" applyAlignment="1">
      <alignment vertical="center"/>
    </xf>
    <xf numFmtId="168" fontId="4" fillId="0" borderId="49" xfId="0" applyNumberFormat="1" applyFont="1" applyBorder="1" applyAlignment="1">
      <alignment vertical="center"/>
    </xf>
    <xf numFmtId="8" fontId="4" fillId="0" borderId="179" xfId="0" applyNumberFormat="1" applyFont="1" applyBorder="1" applyAlignment="1">
      <alignment vertical="center"/>
    </xf>
    <xf numFmtId="168" fontId="4" fillId="0" borderId="0" xfId="0" quotePrefix="1" applyNumberFormat="1" applyFont="1" applyAlignment="1">
      <alignment vertical="center"/>
    </xf>
    <xf numFmtId="8" fontId="4" fillId="0" borderId="0" xfId="0" applyNumberFormat="1" applyFont="1" applyAlignment="1">
      <alignment vertical="center"/>
    </xf>
    <xf numFmtId="170" fontId="0" fillId="5" borderId="19" xfId="0" applyNumberFormat="1" applyFill="1" applyBorder="1" applyProtection="1">
      <protection locked="0"/>
    </xf>
    <xf numFmtId="170" fontId="0" fillId="5" borderId="153" xfId="0" applyNumberFormat="1" applyFill="1" applyBorder="1" applyProtection="1">
      <protection locked="0"/>
    </xf>
    <xf numFmtId="8" fontId="4" fillId="0" borderId="0" xfId="0" applyNumberFormat="1" applyFont="1" applyAlignment="1">
      <alignment horizontal="right" vertical="center"/>
    </xf>
    <xf numFmtId="168" fontId="0" fillId="0" borderId="8" xfId="0" applyNumberFormat="1" applyBorder="1" applyAlignment="1">
      <alignment vertical="center"/>
    </xf>
    <xf numFmtId="15" fontId="30" fillId="0" borderId="0" xfId="0" applyFont="1" applyAlignment="1">
      <alignment horizontal="right"/>
    </xf>
    <xf numFmtId="15" fontId="17" fillId="0" borderId="0" xfId="0" applyFont="1" applyAlignment="1">
      <alignment horizontal="right"/>
    </xf>
    <xf numFmtId="15" fontId="42" fillId="0" borderId="0" xfId="0" applyFont="1"/>
    <xf numFmtId="170" fontId="4" fillId="5" borderId="46" xfId="0" applyNumberFormat="1" applyFont="1" applyFill="1" applyBorder="1" applyProtection="1">
      <protection locked="0"/>
    </xf>
    <xf numFmtId="174" fontId="4" fillId="2" borderId="0" xfId="0" applyNumberFormat="1" applyFont="1" applyFill="1"/>
    <xf numFmtId="167" fontId="4" fillId="2" borderId="5" xfId="0" applyNumberFormat="1" applyFont="1" applyFill="1" applyBorder="1"/>
    <xf numFmtId="1" fontId="4" fillId="2" borderId="5" xfId="0" applyNumberFormat="1" applyFont="1" applyFill="1" applyBorder="1"/>
    <xf numFmtId="174" fontId="4" fillId="2" borderId="5" xfId="0" applyNumberFormat="1" applyFont="1" applyFill="1" applyBorder="1"/>
    <xf numFmtId="8" fontId="18" fillId="0" borderId="170" xfId="0" applyNumberFormat="1" applyFont="1" applyBorder="1"/>
    <xf numFmtId="1" fontId="4" fillId="0" borderId="61" xfId="0" applyNumberFormat="1" applyFont="1" applyBorder="1" applyAlignment="1">
      <alignment horizontal="center"/>
    </xf>
    <xf numFmtId="170" fontId="0" fillId="3" borderId="166" xfId="0" applyNumberFormat="1" applyFill="1" applyBorder="1" applyAlignment="1" applyProtection="1">
      <alignment horizontal="left" wrapText="1"/>
      <protection locked="0"/>
    </xf>
    <xf numFmtId="170" fontId="0" fillId="0" borderId="19" xfId="0" applyNumberFormat="1" applyBorder="1"/>
    <xf numFmtId="15" fontId="0" fillId="0" borderId="9" xfId="0" applyBorder="1" applyAlignment="1">
      <alignment horizontal="center"/>
    </xf>
    <xf numFmtId="15" fontId="0" fillId="2" borderId="0" xfId="0" applyFill="1" applyAlignment="1">
      <alignment vertical="center"/>
    </xf>
    <xf numFmtId="8" fontId="4" fillId="0" borderId="54" xfId="0" applyNumberFormat="1" applyFont="1" applyBorder="1" applyAlignment="1">
      <alignment vertical="center"/>
    </xf>
    <xf numFmtId="8" fontId="4" fillId="0" borderId="39" xfId="0" applyNumberFormat="1" applyFont="1" applyBorder="1" applyAlignment="1">
      <alignment vertical="center"/>
    </xf>
    <xf numFmtId="168" fontId="0" fillId="5" borderId="0" xfId="0" applyNumberFormat="1" applyFill="1" applyAlignment="1">
      <alignment vertical="center"/>
    </xf>
    <xf numFmtId="168" fontId="0" fillId="0" borderId="176" xfId="0" applyNumberFormat="1" applyBorder="1" applyAlignment="1">
      <alignment vertical="center"/>
    </xf>
    <xf numFmtId="168" fontId="5" fillId="0" borderId="0" xfId="0" applyNumberFormat="1" applyFont="1" applyAlignment="1">
      <alignment horizontal="left" vertical="center"/>
    </xf>
    <xf numFmtId="168" fontId="0" fillId="0" borderId="171" xfId="0" applyNumberFormat="1" applyBorder="1" applyAlignment="1">
      <alignment vertical="center"/>
    </xf>
    <xf numFmtId="1" fontId="0" fillId="0" borderId="15" xfId="0" applyNumberFormat="1" applyBorder="1" applyAlignment="1">
      <alignment horizontal="right"/>
    </xf>
    <xf numFmtId="170" fontId="0" fillId="3" borderId="162" xfId="0" applyNumberFormat="1" applyFill="1" applyBorder="1" applyAlignment="1" applyProtection="1">
      <alignment horizontal="left" wrapText="1"/>
      <protection locked="0"/>
    </xf>
    <xf numFmtId="168" fontId="0" fillId="0" borderId="44" xfId="0" applyNumberFormat="1" applyBorder="1" applyAlignment="1">
      <alignment vertical="center"/>
    </xf>
    <xf numFmtId="0" fontId="4" fillId="0" borderId="8" xfId="21" applyFont="1" applyBorder="1" applyAlignment="1">
      <alignment vertical="center"/>
    </xf>
    <xf numFmtId="168" fontId="44" fillId="0" borderId="161" xfId="0" applyNumberFormat="1" applyFont="1" applyBorder="1" applyAlignment="1">
      <alignment wrapText="1"/>
    </xf>
    <xf numFmtId="168" fontId="0" fillId="0" borderId="16" xfId="0" applyNumberFormat="1" applyBorder="1" applyAlignment="1">
      <alignment horizontal="right" wrapText="1"/>
    </xf>
    <xf numFmtId="8" fontId="9" fillId="0" borderId="57" xfId="0" applyNumberFormat="1" applyFont="1" applyBorder="1" applyAlignment="1">
      <alignment vertical="center"/>
    </xf>
    <xf numFmtId="8" fontId="7" fillId="0" borderId="0" xfId="0" applyNumberFormat="1" applyFont="1" applyAlignment="1">
      <alignment horizontal="right" vertical="center"/>
    </xf>
    <xf numFmtId="8" fontId="3" fillId="5" borderId="62" xfId="0" applyNumberFormat="1" applyFont="1" applyFill="1" applyBorder="1" applyAlignment="1">
      <alignment horizontal="left"/>
    </xf>
    <xf numFmtId="8" fontId="4" fillId="5" borderId="12" xfId="0" applyNumberFormat="1" applyFont="1" applyFill="1" applyBorder="1"/>
    <xf numFmtId="8" fontId="4" fillId="5" borderId="63" xfId="0" applyNumberFormat="1" applyFont="1" applyFill="1" applyBorder="1"/>
    <xf numFmtId="8" fontId="4" fillId="5" borderId="76" xfId="0" applyNumberFormat="1" applyFont="1" applyFill="1" applyBorder="1"/>
    <xf numFmtId="8" fontId="4" fillId="5" borderId="64" xfId="0" applyNumberFormat="1" applyFont="1" applyFill="1" applyBorder="1"/>
    <xf numFmtId="8" fontId="4" fillId="5" borderId="0" xfId="0" applyNumberFormat="1" applyFont="1" applyFill="1"/>
    <xf numFmtId="168" fontId="45" fillId="5" borderId="0" xfId="0" applyNumberFormat="1" applyFont="1" applyFill="1" applyAlignment="1">
      <alignment vertical="center"/>
    </xf>
    <xf numFmtId="8" fontId="4" fillId="3" borderId="147" xfId="0" applyNumberFormat="1" applyFont="1" applyFill="1" applyBorder="1" applyProtection="1">
      <protection locked="0"/>
    </xf>
    <xf numFmtId="8" fontId="4" fillId="3" borderId="180" xfId="0" applyNumberFormat="1" applyFont="1" applyFill="1" applyBorder="1" applyProtection="1">
      <protection locked="0"/>
    </xf>
    <xf numFmtId="8" fontId="4" fillId="3" borderId="148" xfId="0" applyNumberFormat="1" applyFont="1" applyFill="1" applyBorder="1" applyProtection="1">
      <protection locked="0"/>
    </xf>
    <xf numFmtId="8" fontId="4" fillId="3" borderId="181" xfId="0" applyNumberFormat="1" applyFont="1" applyFill="1" applyBorder="1" applyProtection="1">
      <protection locked="0"/>
    </xf>
    <xf numFmtId="15" fontId="0" fillId="0" borderId="65" xfId="0" applyBorder="1" applyAlignment="1">
      <alignment horizontal="center"/>
    </xf>
    <xf numFmtId="168" fontId="0" fillId="0" borderId="103" xfId="0" applyNumberFormat="1" applyBorder="1" applyAlignment="1">
      <alignment wrapText="1"/>
    </xf>
    <xf numFmtId="168" fontId="4" fillId="0" borderId="0" xfId="0" applyNumberFormat="1" applyFont="1" applyAlignment="1">
      <alignment wrapText="1"/>
    </xf>
    <xf numFmtId="168" fontId="18" fillId="0" borderId="0" xfId="0" applyNumberFormat="1" applyFont="1" applyAlignment="1">
      <alignment wrapText="1"/>
    </xf>
    <xf numFmtId="4" fontId="0" fillId="0" borderId="0" xfId="0" applyNumberFormat="1"/>
    <xf numFmtId="15" fontId="4" fillId="5" borderId="0" xfId="0" applyFont="1" applyFill="1"/>
    <xf numFmtId="0" fontId="4" fillId="5" borderId="0" xfId="0" applyNumberFormat="1" applyFont="1" applyFill="1"/>
    <xf numFmtId="170" fontId="4" fillId="5" borderId="28" xfId="0" applyNumberFormat="1" applyFont="1" applyFill="1" applyBorder="1"/>
    <xf numFmtId="168" fontId="0" fillId="0" borderId="0" xfId="0" quotePrefix="1" applyNumberFormat="1" applyAlignment="1">
      <alignment vertical="center"/>
    </xf>
    <xf numFmtId="170" fontId="43" fillId="0" borderId="6" xfId="0" applyNumberFormat="1" applyFont="1" applyBorder="1"/>
    <xf numFmtId="168" fontId="4" fillId="0" borderId="2" xfId="0" applyNumberFormat="1" applyFont="1" applyBorder="1" applyAlignment="1">
      <alignment horizontal="left" vertical="center"/>
    </xf>
    <xf numFmtId="168" fontId="0" fillId="5" borderId="177" xfId="0" applyNumberFormat="1" applyFill="1" applyBorder="1" applyAlignment="1">
      <alignment vertical="center"/>
    </xf>
    <xf numFmtId="170" fontId="0" fillId="0" borderId="0" xfId="0" applyNumberFormat="1"/>
    <xf numFmtId="168" fontId="4" fillId="5" borderId="14" xfId="0" applyNumberFormat="1" applyFont="1" applyFill="1" applyBorder="1" applyAlignment="1">
      <alignment vertical="center"/>
    </xf>
    <xf numFmtId="168" fontId="4" fillId="5" borderId="11" xfId="0" applyNumberFormat="1" applyFont="1" applyFill="1" applyBorder="1" applyAlignment="1">
      <alignment vertical="center"/>
    </xf>
    <xf numFmtId="168" fontId="4" fillId="5" borderId="10" xfId="0" applyNumberFormat="1" applyFont="1" applyFill="1" applyBorder="1" applyAlignment="1">
      <alignment vertical="center"/>
    </xf>
    <xf numFmtId="168" fontId="4" fillId="5" borderId="173" xfId="0" quotePrefix="1" applyNumberFormat="1" applyFont="1" applyFill="1" applyBorder="1" applyAlignment="1">
      <alignment vertical="center"/>
    </xf>
    <xf numFmtId="168" fontId="4" fillId="5" borderId="174" xfId="0" quotePrefix="1" applyNumberFormat="1" applyFont="1" applyFill="1" applyBorder="1" applyAlignment="1">
      <alignment vertical="center"/>
    </xf>
    <xf numFmtId="168" fontId="4" fillId="5" borderId="174" xfId="0" applyNumberFormat="1" applyFont="1" applyFill="1" applyBorder="1" applyAlignment="1">
      <alignment vertical="center"/>
    </xf>
    <xf numFmtId="15" fontId="48" fillId="0" borderId="0" xfId="0" applyFont="1"/>
    <xf numFmtId="15" fontId="49" fillId="0" borderId="0" xfId="0" applyFont="1"/>
    <xf numFmtId="1" fontId="5" fillId="2" borderId="0" xfId="0" applyNumberFormat="1" applyFont="1" applyFill="1" applyAlignment="1">
      <alignment vertical="center"/>
    </xf>
    <xf numFmtId="9" fontId="5" fillId="2" borderId="0" xfId="0" applyNumberFormat="1" applyFont="1" applyFill="1" applyAlignment="1">
      <alignment vertical="center"/>
    </xf>
    <xf numFmtId="167" fontId="9" fillId="2" borderId="0" xfId="0" applyNumberFormat="1" applyFont="1" applyFill="1" applyAlignment="1">
      <alignment horizontal="center" vertical="center"/>
    </xf>
    <xf numFmtId="168" fontId="4" fillId="5" borderId="60" xfId="0" quotePrefix="1" applyNumberFormat="1" applyFont="1" applyFill="1" applyBorder="1" applyAlignment="1">
      <alignment vertical="center"/>
    </xf>
    <xf numFmtId="168" fontId="8" fillId="0" borderId="2" xfId="0" applyNumberFormat="1" applyFont="1" applyBorder="1" applyAlignment="1">
      <alignment vertical="center"/>
    </xf>
    <xf numFmtId="168" fontId="8" fillId="0" borderId="18" xfId="0" applyNumberFormat="1" applyFont="1" applyBorder="1" applyAlignment="1">
      <alignment vertical="center"/>
    </xf>
    <xf numFmtId="168" fontId="4" fillId="0" borderId="13" xfId="0" applyNumberFormat="1" applyFont="1" applyBorder="1" applyAlignment="1">
      <alignment vertical="center"/>
    </xf>
    <xf numFmtId="168" fontId="0" fillId="5" borderId="5" xfId="0" applyNumberFormat="1" applyFill="1" applyBorder="1" applyAlignment="1">
      <alignment horizontal="left" vertical="center"/>
    </xf>
    <xf numFmtId="168" fontId="0" fillId="0" borderId="18" xfId="0" applyNumberFormat="1" applyBorder="1" applyAlignment="1">
      <alignment vertical="center"/>
    </xf>
    <xf numFmtId="168" fontId="0" fillId="5" borderId="18" xfId="0" applyNumberFormat="1" applyFill="1" applyBorder="1" applyAlignment="1">
      <alignment vertical="center"/>
    </xf>
    <xf numFmtId="15" fontId="0" fillId="0" borderId="50" xfId="0" applyBorder="1" applyAlignment="1">
      <alignment horizontal="left" wrapText="1"/>
    </xf>
    <xf numFmtId="168" fontId="3" fillId="0" borderId="0" xfId="0" quotePrefix="1" applyNumberFormat="1" applyFont="1" applyAlignment="1">
      <alignment vertical="center"/>
    </xf>
    <xf numFmtId="168" fontId="4" fillId="0" borderId="25" xfId="0" applyNumberFormat="1" applyFont="1" applyBorder="1" applyAlignment="1">
      <alignment horizontal="center" vertical="center" wrapText="1"/>
    </xf>
    <xf numFmtId="168" fontId="4" fillId="0" borderId="2" xfId="0" applyNumberFormat="1" applyFont="1" applyBorder="1" applyAlignment="1">
      <alignment horizontal="center" vertical="center"/>
    </xf>
    <xf numFmtId="168" fontId="4" fillId="0" borderId="182" xfId="0" applyNumberFormat="1" applyFont="1" applyBorder="1" applyAlignment="1">
      <alignment horizontal="center" vertical="center" wrapText="1"/>
    </xf>
    <xf numFmtId="168" fontId="4" fillId="0" borderId="58" xfId="0" applyNumberFormat="1" applyFont="1" applyBorder="1" applyAlignment="1">
      <alignment vertical="center" textRotation="180"/>
    </xf>
    <xf numFmtId="168" fontId="4" fillId="0" borderId="96" xfId="0" applyNumberFormat="1" applyFont="1" applyBorder="1" applyAlignment="1">
      <alignment vertical="center"/>
    </xf>
    <xf numFmtId="168" fontId="4" fillId="0" borderId="75" xfId="0" applyNumberFormat="1" applyFont="1" applyBorder="1" applyAlignment="1">
      <alignment horizontal="right" vertical="center"/>
    </xf>
    <xf numFmtId="8" fontId="4" fillId="0" borderId="183" xfId="0" applyNumberFormat="1" applyFont="1" applyBorder="1" applyAlignment="1">
      <alignment vertical="center"/>
    </xf>
    <xf numFmtId="168" fontId="4" fillId="0" borderId="60" xfId="0" applyNumberFormat="1" applyFont="1" applyBorder="1" applyAlignment="1">
      <alignment vertical="center"/>
    </xf>
    <xf numFmtId="168" fontId="0" fillId="0" borderId="101" xfId="0" applyNumberFormat="1" applyBorder="1" applyAlignment="1">
      <alignment wrapText="1"/>
    </xf>
    <xf numFmtId="168" fontId="4" fillId="0" borderId="5" xfId="0" applyNumberFormat="1" applyFont="1" applyBorder="1" applyAlignment="1">
      <alignment horizontal="left" vertical="center"/>
    </xf>
    <xf numFmtId="0" fontId="12" fillId="0" borderId="18" xfId="22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9" fontId="23" fillId="0" borderId="0" xfId="0" applyNumberFormat="1" applyFont="1" applyAlignment="1">
      <alignment horizontal="right" vertical="center"/>
    </xf>
    <xf numFmtId="15" fontId="0" fillId="0" borderId="75" xfId="0" applyBorder="1" applyAlignment="1">
      <alignment horizontal="center"/>
    </xf>
    <xf numFmtId="15" fontId="0" fillId="0" borderId="58" xfId="0" applyBorder="1" applyAlignment="1">
      <alignment horizontal="center"/>
    </xf>
    <xf numFmtId="15" fontId="0" fillId="0" borderId="51" xfId="0" applyBorder="1" applyAlignment="1">
      <alignment horizontal="center"/>
    </xf>
    <xf numFmtId="8" fontId="4" fillId="0" borderId="105" xfId="0" applyNumberFormat="1" applyFont="1" applyBorder="1"/>
    <xf numFmtId="8" fontId="4" fillId="0" borderId="107" xfId="0" applyNumberFormat="1" applyFont="1" applyBorder="1"/>
    <xf numFmtId="8" fontId="4" fillId="0" borderId="143" xfId="0" applyNumberFormat="1" applyFont="1" applyBorder="1"/>
    <xf numFmtId="8" fontId="4" fillId="0" borderId="16" xfId="0" applyNumberFormat="1" applyFont="1" applyBorder="1"/>
    <xf numFmtId="8" fontId="4" fillId="0" borderId="184" xfId="0" applyNumberFormat="1" applyFont="1" applyBorder="1"/>
    <xf numFmtId="8" fontId="4" fillId="0" borderId="185" xfId="0" applyNumberFormat="1" applyFont="1" applyBorder="1"/>
    <xf numFmtId="8" fontId="4" fillId="0" borderId="161" xfId="0" applyNumberFormat="1" applyFont="1" applyBorder="1"/>
    <xf numFmtId="8" fontId="4" fillId="3" borderId="137" xfId="0" applyNumberFormat="1" applyFont="1" applyFill="1" applyBorder="1" applyProtection="1">
      <protection locked="0"/>
    </xf>
    <xf numFmtId="8" fontId="4" fillId="0" borderId="186" xfId="0" applyNumberFormat="1" applyFont="1" applyBorder="1"/>
    <xf numFmtId="8" fontId="4" fillId="3" borderId="124" xfId="0" applyNumberFormat="1" applyFont="1" applyFill="1" applyBorder="1" applyProtection="1">
      <protection locked="0"/>
    </xf>
    <xf numFmtId="8" fontId="4" fillId="3" borderId="163" xfId="0" applyNumberFormat="1" applyFont="1" applyFill="1" applyBorder="1" applyProtection="1">
      <protection locked="0"/>
    </xf>
    <xf numFmtId="8" fontId="4" fillId="3" borderId="187" xfId="0" applyNumberFormat="1" applyFont="1" applyFill="1" applyBorder="1" applyProtection="1">
      <protection locked="0"/>
    </xf>
    <xf numFmtId="8" fontId="4" fillId="0" borderId="146" xfId="0" applyNumberFormat="1" applyFont="1" applyBorder="1"/>
    <xf numFmtId="8" fontId="4" fillId="3" borderId="188" xfId="0" applyNumberFormat="1" applyFont="1" applyFill="1" applyBorder="1" applyProtection="1">
      <protection locked="0"/>
    </xf>
    <xf numFmtId="8" fontId="4" fillId="0" borderId="54" xfId="0" applyNumberFormat="1" applyFont="1" applyBorder="1"/>
    <xf numFmtId="15" fontId="4" fillId="0" borderId="58" xfId="0" applyFont="1" applyBorder="1"/>
    <xf numFmtId="15" fontId="0" fillId="0" borderId="73" xfId="0" applyBorder="1" applyAlignment="1">
      <alignment horizontal="center"/>
    </xf>
    <xf numFmtId="15" fontId="0" fillId="0" borderId="59" xfId="0" applyBorder="1" applyAlignment="1">
      <alignment horizontal="center"/>
    </xf>
    <xf numFmtId="15" fontId="4" fillId="0" borderId="74" xfId="0" applyFont="1" applyBorder="1" applyAlignment="1">
      <alignment horizontal="center"/>
    </xf>
    <xf numFmtId="15" fontId="0" fillId="0" borderId="60" xfId="0" applyBorder="1" applyAlignment="1">
      <alignment horizontal="center"/>
    </xf>
    <xf numFmtId="170" fontId="0" fillId="3" borderId="108" xfId="0" applyNumberFormat="1" applyFill="1" applyBorder="1" applyAlignment="1" applyProtection="1">
      <alignment horizontal="left"/>
      <protection locked="0"/>
    </xf>
    <xf numFmtId="168" fontId="5" fillId="0" borderId="0" xfId="0" applyNumberFormat="1" applyFont="1" applyAlignment="1">
      <alignment horizontal="right" vertical="center"/>
    </xf>
    <xf numFmtId="168" fontId="0" fillId="0" borderId="0" xfId="0" quotePrefix="1" applyNumberFormat="1" applyAlignment="1">
      <alignment horizontal="center" vertical="center"/>
    </xf>
    <xf numFmtId="8" fontId="4" fillId="5" borderId="178" xfId="0" quotePrefix="1" applyNumberFormat="1" applyFont="1" applyFill="1" applyBorder="1" applyAlignment="1">
      <alignment vertical="center"/>
    </xf>
    <xf numFmtId="8" fontId="4" fillId="5" borderId="67" xfId="0" applyNumberFormat="1" applyFont="1" applyFill="1" applyBorder="1" applyAlignment="1">
      <alignment vertical="center"/>
    </xf>
    <xf numFmtId="168" fontId="4" fillId="5" borderId="2" xfId="0" applyNumberFormat="1" applyFont="1" applyFill="1" applyBorder="1" applyAlignment="1">
      <alignment vertical="center"/>
    </xf>
    <xf numFmtId="168" fontId="4" fillId="5" borderId="8" xfId="0" applyNumberFormat="1" applyFont="1" applyFill="1" applyBorder="1" applyAlignment="1">
      <alignment vertical="center"/>
    </xf>
    <xf numFmtId="15" fontId="4" fillId="5" borderId="24" xfId="0" applyFont="1" applyFill="1" applyBorder="1" applyAlignment="1">
      <alignment horizontal="center"/>
    </xf>
    <xf numFmtId="170" fontId="4" fillId="3" borderId="30" xfId="0" applyNumberFormat="1" applyFont="1" applyFill="1" applyBorder="1"/>
    <xf numFmtId="170" fontId="4" fillId="3" borderId="24" xfId="0" applyNumberFormat="1" applyFont="1" applyFill="1" applyBorder="1"/>
    <xf numFmtId="170" fontId="4" fillId="3" borderId="70" xfId="0" applyNumberFormat="1" applyFont="1" applyFill="1" applyBorder="1"/>
    <xf numFmtId="170" fontId="4" fillId="3" borderId="46" xfId="0" applyNumberFormat="1" applyFont="1" applyFill="1" applyBorder="1"/>
    <xf numFmtId="168" fontId="0" fillId="0" borderId="61" xfId="0" applyNumberFormat="1" applyBorder="1" applyAlignment="1">
      <alignment vertical="center"/>
    </xf>
    <xf numFmtId="15" fontId="0" fillId="0" borderId="0" xfId="0" applyAlignment="1">
      <alignment vertical="top"/>
    </xf>
    <xf numFmtId="168" fontId="7" fillId="0" borderId="2" xfId="0" applyNumberFormat="1" applyFont="1" applyBorder="1" applyAlignment="1">
      <alignment vertical="center"/>
    </xf>
    <xf numFmtId="168" fontId="7" fillId="0" borderId="44" xfId="0" applyNumberFormat="1" applyFont="1" applyBorder="1" applyAlignment="1">
      <alignment vertical="center"/>
    </xf>
    <xf numFmtId="168" fontId="7" fillId="0" borderId="8" xfId="0" applyNumberFormat="1" applyFont="1" applyBorder="1" applyAlignment="1">
      <alignment vertical="center"/>
    </xf>
    <xf numFmtId="168" fontId="7" fillId="0" borderId="7" xfId="0" applyNumberFormat="1" applyFont="1" applyBorder="1" applyAlignment="1">
      <alignment vertical="center"/>
    </xf>
    <xf numFmtId="8" fontId="58" fillId="3" borderId="127" xfId="0" applyNumberFormat="1" applyFont="1" applyFill="1" applyBorder="1" applyProtection="1">
      <protection locked="0"/>
    </xf>
    <xf numFmtId="8" fontId="58" fillId="3" borderId="106" xfId="0" applyNumberFormat="1" applyFont="1" applyFill="1" applyBorder="1" applyProtection="1">
      <protection locked="0"/>
    </xf>
    <xf numFmtId="168" fontId="0" fillId="0" borderId="1" xfId="0" applyNumberFormat="1" applyBorder="1" applyAlignment="1">
      <alignment vertical="center"/>
    </xf>
    <xf numFmtId="170" fontId="0" fillId="0" borderId="23" xfId="0" applyNumberFormat="1" applyBorder="1"/>
    <xf numFmtId="15" fontId="0" fillId="5" borderId="123" xfId="0" applyFill="1" applyBorder="1" applyAlignment="1">
      <alignment horizontal="center"/>
    </xf>
    <xf numFmtId="168" fontId="59" fillId="0" borderId="0" xfId="0" applyNumberFormat="1" applyFont="1" applyAlignment="1">
      <alignment vertical="center"/>
    </xf>
    <xf numFmtId="168" fontId="60" fillId="0" borderId="0" xfId="0" applyNumberFormat="1" applyFont="1" applyAlignment="1">
      <alignment horizontal="center" vertical="center"/>
    </xf>
    <xf numFmtId="168" fontId="45" fillId="0" borderId="0" xfId="0" applyNumberFormat="1" applyFont="1" applyAlignment="1">
      <alignment vertical="center"/>
    </xf>
    <xf numFmtId="168" fontId="5" fillId="0" borderId="189" xfId="0" applyNumberFormat="1" applyFont="1" applyBorder="1" applyAlignment="1">
      <alignment vertical="center"/>
    </xf>
    <xf numFmtId="8" fontId="5" fillId="0" borderId="0" xfId="0" applyNumberFormat="1" applyFont="1" applyAlignment="1">
      <alignment vertical="center"/>
    </xf>
    <xf numFmtId="168" fontId="6" fillId="0" borderId="190" xfId="0" applyNumberFormat="1" applyFont="1" applyBorder="1" applyAlignment="1">
      <alignment vertical="center"/>
    </xf>
    <xf numFmtId="3" fontId="0" fillId="0" borderId="82" xfId="0" applyNumberFormat="1" applyBorder="1"/>
    <xf numFmtId="168" fontId="4" fillId="0" borderId="146" xfId="0" applyNumberFormat="1" applyFont="1" applyBorder="1" applyAlignment="1">
      <alignment wrapText="1"/>
    </xf>
    <xf numFmtId="168" fontId="4" fillId="4" borderId="191" xfId="0" applyNumberFormat="1" applyFont="1" applyFill="1" applyBorder="1" applyProtection="1">
      <protection locked="0"/>
    </xf>
    <xf numFmtId="168" fontId="4" fillId="4" borderId="164" xfId="0" applyNumberFormat="1" applyFont="1" applyFill="1" applyBorder="1" applyProtection="1">
      <protection locked="0"/>
    </xf>
    <xf numFmtId="168" fontId="4" fillId="0" borderId="164" xfId="0" applyNumberFormat="1" applyFont="1" applyBorder="1"/>
    <xf numFmtId="168" fontId="4" fillId="0" borderId="192" xfId="0" applyNumberFormat="1" applyFont="1" applyBorder="1"/>
    <xf numFmtId="3" fontId="0" fillId="0" borderId="193" xfId="0" applyNumberFormat="1" applyBorder="1"/>
    <xf numFmtId="168" fontId="4" fillId="0" borderId="144" xfId="0" applyNumberFormat="1" applyFont="1" applyBorder="1" applyAlignment="1">
      <alignment wrapText="1"/>
    </xf>
    <xf numFmtId="168" fontId="4" fillId="4" borderId="181" xfId="0" applyNumberFormat="1" applyFont="1" applyFill="1" applyBorder="1" applyProtection="1">
      <protection locked="0"/>
    </xf>
    <xf numFmtId="168" fontId="4" fillId="4" borderId="141" xfId="0" applyNumberFormat="1" applyFont="1" applyFill="1" applyBorder="1" applyProtection="1">
      <protection locked="0"/>
    </xf>
    <xf numFmtId="168" fontId="4" fillId="4" borderId="125" xfId="0" applyNumberFormat="1" applyFont="1" applyFill="1" applyBorder="1" applyProtection="1">
      <protection locked="0"/>
    </xf>
    <xf numFmtId="168" fontId="4" fillId="0" borderId="125" xfId="0" applyNumberFormat="1" applyFont="1" applyBorder="1"/>
    <xf numFmtId="168" fontId="4" fillId="0" borderId="194" xfId="0" applyNumberFormat="1" applyFont="1" applyBorder="1"/>
    <xf numFmtId="168" fontId="3" fillId="0" borderId="43" xfId="0" applyNumberFormat="1" applyFont="1" applyBorder="1" applyAlignment="1">
      <alignment wrapText="1"/>
    </xf>
    <xf numFmtId="168" fontId="4" fillId="0" borderId="160" xfId="0" applyNumberFormat="1" applyFont="1" applyBorder="1"/>
    <xf numFmtId="168" fontId="4" fillId="0" borderId="84" xfId="0" applyNumberFormat="1" applyFont="1" applyBorder="1"/>
    <xf numFmtId="168" fontId="4" fillId="0" borderId="86" xfId="0" applyNumberFormat="1" applyFont="1" applyBorder="1"/>
    <xf numFmtId="168" fontId="4" fillId="0" borderId="85" xfId="0" applyNumberFormat="1" applyFont="1" applyBorder="1"/>
    <xf numFmtId="15" fontId="24" fillId="0" borderId="0" xfId="0" applyFont="1" applyAlignment="1">
      <alignment horizontal="center"/>
    </xf>
    <xf numFmtId="168" fontId="7" fillId="5" borderId="44" xfId="0" quotePrefix="1" applyNumberFormat="1" applyFont="1" applyFill="1" applyBorder="1" applyAlignment="1">
      <alignment vertical="center"/>
    </xf>
    <xf numFmtId="168" fontId="7" fillId="5" borderId="8" xfId="0" applyNumberFormat="1" applyFont="1" applyFill="1" applyBorder="1" applyAlignment="1">
      <alignment vertical="center"/>
    </xf>
    <xf numFmtId="168" fontId="3" fillId="0" borderId="0" xfId="0" applyNumberFormat="1" applyFont="1" applyAlignment="1">
      <alignment horizontal="right" vertical="center"/>
    </xf>
    <xf numFmtId="8" fontId="3" fillId="0" borderId="0" xfId="0" applyNumberFormat="1" applyFont="1" applyAlignment="1">
      <alignment horizontal="right" vertical="center"/>
    </xf>
    <xf numFmtId="15" fontId="4" fillId="3" borderId="154" xfId="0" applyFont="1" applyFill="1" applyBorder="1" applyAlignment="1" applyProtection="1">
      <alignment horizontal="center"/>
      <protection locked="0"/>
    </xf>
    <xf numFmtId="8" fontId="0" fillId="5" borderId="13" xfId="0" applyNumberFormat="1" applyFill="1" applyBorder="1" applyAlignment="1">
      <alignment horizontal="left" vertical="center"/>
    </xf>
    <xf numFmtId="168" fontId="61" fillId="5" borderId="0" xfId="0" applyNumberFormat="1" applyFont="1" applyFill="1" applyAlignment="1">
      <alignment horizontal="left" vertical="center"/>
    </xf>
    <xf numFmtId="168" fontId="63" fillId="5" borderId="0" xfId="0" applyNumberFormat="1" applyFont="1" applyFill="1" applyAlignment="1">
      <alignment vertical="center"/>
    </xf>
    <xf numFmtId="8" fontId="64" fillId="5" borderId="0" xfId="0" applyNumberFormat="1" applyFont="1" applyFill="1" applyAlignment="1">
      <alignment horizontal="right" vertical="center"/>
    </xf>
    <xf numFmtId="3" fontId="45" fillId="5" borderId="0" xfId="0" applyNumberFormat="1" applyFont="1" applyFill="1" applyAlignment="1">
      <alignment vertical="center"/>
    </xf>
    <xf numFmtId="168" fontId="64" fillId="5" borderId="0" xfId="0" applyNumberFormat="1" applyFont="1" applyFill="1" applyAlignment="1">
      <alignment vertical="center"/>
    </xf>
    <xf numFmtId="168" fontId="61" fillId="5" borderId="0" xfId="0" applyNumberFormat="1" applyFont="1" applyFill="1" applyAlignment="1">
      <alignment vertical="center"/>
    </xf>
    <xf numFmtId="15" fontId="45" fillId="5" borderId="0" xfId="0" applyFont="1" applyFill="1" applyAlignment="1">
      <alignment vertical="center"/>
    </xf>
    <xf numFmtId="8" fontId="45" fillId="5" borderId="0" xfId="0" applyNumberFormat="1" applyFont="1" applyFill="1" applyAlignment="1">
      <alignment horizontal="right" vertical="center"/>
    </xf>
    <xf numFmtId="8" fontId="45" fillId="5" borderId="0" xfId="0" applyNumberFormat="1" applyFont="1" applyFill="1" applyAlignment="1">
      <alignment vertical="center"/>
    </xf>
    <xf numFmtId="168" fontId="29" fillId="0" borderId="0" xfId="0" applyNumberFormat="1" applyFont="1" applyAlignment="1">
      <alignment vertical="center"/>
    </xf>
    <xf numFmtId="168" fontId="65" fillId="0" borderId="0" xfId="0" applyNumberFormat="1" applyFont="1" applyAlignment="1">
      <alignment vertical="center"/>
    </xf>
    <xf numFmtId="15" fontId="66" fillId="0" borderId="0" xfId="0" applyFont="1" applyAlignment="1">
      <alignment vertical="center" wrapText="1"/>
    </xf>
    <xf numFmtId="15" fontId="9" fillId="0" borderId="0" xfId="0" applyFont="1"/>
    <xf numFmtId="15" fontId="11" fillId="0" borderId="0" xfId="0" applyFont="1"/>
    <xf numFmtId="15" fontId="3" fillId="0" borderId="0" xfId="0" applyFont="1"/>
    <xf numFmtId="168" fontId="16" fillId="0" borderId="0" xfId="0" applyNumberFormat="1" applyFont="1" applyAlignment="1">
      <alignment wrapText="1"/>
    </xf>
    <xf numFmtId="168" fontId="46" fillId="0" borderId="0" xfId="0" applyNumberFormat="1" applyFont="1" applyAlignment="1">
      <alignment horizontal="center"/>
    </xf>
    <xf numFmtId="15" fontId="47" fillId="0" borderId="0" xfId="0" applyFont="1" applyAlignment="1">
      <alignment horizontal="center"/>
    </xf>
    <xf numFmtId="168" fontId="4" fillId="0" borderId="0" xfId="0" applyNumberFormat="1" applyFont="1" applyAlignment="1">
      <alignment wrapText="1"/>
    </xf>
    <xf numFmtId="168" fontId="4" fillId="0" borderId="0" xfId="0" applyNumberFormat="1" applyFont="1"/>
    <xf numFmtId="168" fontId="0" fillId="0" borderId="0" xfId="0" applyNumberFormat="1" applyAlignment="1">
      <alignment wrapText="1"/>
    </xf>
    <xf numFmtId="168" fontId="56" fillId="0" borderId="0" xfId="0" applyNumberFormat="1" applyFont="1" applyAlignment="1">
      <alignment vertical="center" wrapText="1"/>
    </xf>
    <xf numFmtId="15" fontId="20" fillId="0" borderId="5" xfId="0" applyFont="1" applyBorder="1" applyAlignment="1">
      <alignment vertical="center" wrapText="1"/>
    </xf>
    <xf numFmtId="168" fontId="25" fillId="0" borderId="0" xfId="0" applyNumberFormat="1" applyFont="1" applyAlignment="1">
      <alignment vertical="center"/>
    </xf>
    <xf numFmtId="15" fontId="0" fillId="0" borderId="0" xfId="0" applyAlignment="1">
      <alignment vertical="center"/>
    </xf>
    <xf numFmtId="168" fontId="9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168" fontId="25" fillId="0" borderId="0" xfId="0" applyNumberFormat="1" applyFont="1" applyAlignment="1">
      <alignment vertical="top"/>
    </xf>
    <xf numFmtId="15" fontId="57" fillId="0" borderId="0" xfId="0" applyFont="1" applyAlignment="1">
      <alignment vertical="top"/>
    </xf>
    <xf numFmtId="168" fontId="12" fillId="0" borderId="0" xfId="0" applyNumberFormat="1" applyFont="1" applyAlignment="1">
      <alignment horizontal="right" vertical="center" wrapText="1"/>
    </xf>
    <xf numFmtId="15" fontId="33" fillId="0" borderId="0" xfId="0" applyFont="1" applyAlignment="1">
      <alignment vertical="center" wrapText="1"/>
    </xf>
    <xf numFmtId="15" fontId="0" fillId="0" borderId="0" xfId="0" applyAlignment="1">
      <alignment vertical="center" wrapText="1"/>
    </xf>
    <xf numFmtId="15" fontId="0" fillId="0" borderId="18" xfId="0" applyBorder="1" applyAlignment="1">
      <alignment vertical="center" wrapText="1"/>
    </xf>
    <xf numFmtId="15" fontId="3" fillId="0" borderId="171" xfId="0" applyFont="1" applyBorder="1" applyAlignment="1">
      <alignment horizontal="left"/>
    </xf>
    <xf numFmtId="15" fontId="0" fillId="0" borderId="18" xfId="0" applyBorder="1"/>
    <xf numFmtId="15" fontId="0" fillId="0" borderId="0" xfId="0"/>
  </cellXfs>
  <cellStyles count="43">
    <cellStyle name="Comma0" xfId="1"/>
    <cellStyle name="Comma0 2" xfId="2"/>
    <cellStyle name="Comma0 2 2" xfId="31"/>
    <cellStyle name="Comma0 3" xfId="3"/>
    <cellStyle name="Comma0 4" xfId="30"/>
    <cellStyle name="Currency0" xfId="4"/>
    <cellStyle name="Currency0 2" xfId="5"/>
    <cellStyle name="Currency0 2 2" xfId="33"/>
    <cellStyle name="Currency0 3" xfId="6"/>
    <cellStyle name="Currency0 4" xfId="32"/>
    <cellStyle name="Date" xfId="7"/>
    <cellStyle name="Date 2" xfId="8"/>
    <cellStyle name="Date 2 2" xfId="35"/>
    <cellStyle name="Date 3" xfId="9"/>
    <cellStyle name="Date 4" xfId="34"/>
    <cellStyle name="Fixed" xfId="10"/>
    <cellStyle name="Fixed 2" xfId="11"/>
    <cellStyle name="Fixed 2 2" xfId="37"/>
    <cellStyle name="Fixed 3" xfId="12"/>
    <cellStyle name="Fixed 4" xfId="36"/>
    <cellStyle name="Heading 1" xfId="13" builtinId="16" customBuiltin="1"/>
    <cellStyle name="Heading 1 2" xfId="14"/>
    <cellStyle name="Heading 1 2 2" xfId="27"/>
    <cellStyle name="Heading 1 2 3" xfId="38"/>
    <cellStyle name="Heading 1 3" xfId="15"/>
    <cellStyle name="Heading 2" xfId="16" builtinId="17" customBuiltin="1"/>
    <cellStyle name="Heading 2 2" xfId="17"/>
    <cellStyle name="Heading 2 2 2" xfId="28"/>
    <cellStyle name="Heading 2 2 3" xfId="39"/>
    <cellStyle name="Heading 2 3" xfId="18"/>
    <cellStyle name="Hyperlink 2" xfId="19"/>
    <cellStyle name="Normal" xfId="0" builtinId="0"/>
    <cellStyle name="Normal 2" xfId="20"/>
    <cellStyle name="Normal 2 2" xfId="40"/>
    <cellStyle name="Normal 3" xfId="21"/>
    <cellStyle name="Normal 3 2" xfId="41"/>
    <cellStyle name="Normal 4" xfId="22"/>
    <cellStyle name="Normal 5" xfId="26"/>
    <cellStyle name="Normal 6" xfId="29"/>
    <cellStyle name="Total" xfId="23" builtinId="25" customBuiltin="1"/>
    <cellStyle name="Total 2" xfId="24"/>
    <cellStyle name="Total 2 2" xfId="42"/>
    <cellStyle name="Total 3" xfId="25"/>
  </cellStyles>
  <dxfs count="18">
    <dxf>
      <font>
        <color rgb="FFFF0000"/>
      </font>
    </dxf>
    <dxf>
      <font>
        <color theme="5" tint="0.39994506668294322"/>
      </font>
    </dxf>
    <dxf>
      <font>
        <b/>
        <i val="0"/>
      </font>
    </dxf>
    <dxf>
      <font>
        <color rgb="FFFF0000"/>
      </font>
    </dxf>
    <dxf>
      <font>
        <b/>
        <i val="0"/>
      </font>
    </dxf>
    <dxf>
      <font>
        <color rgb="FFFF0000"/>
      </font>
    </dxf>
    <dxf>
      <font>
        <color rgb="FFFF0000"/>
      </font>
    </dxf>
    <dxf>
      <font>
        <color theme="6" tint="0.39994506668294322"/>
      </font>
    </dxf>
    <dxf>
      <font>
        <color theme="5" tint="0.39994506668294322"/>
      </font>
    </dxf>
    <dxf>
      <font>
        <b/>
        <i val="0"/>
      </font>
    </dxf>
    <dxf>
      <font>
        <color rgb="FFFF0000"/>
      </font>
    </dxf>
    <dxf>
      <font>
        <color theme="5" tint="0.39994506668294322"/>
      </font>
    </dxf>
    <dxf>
      <font>
        <b/>
        <i val="0"/>
      </font>
    </dxf>
    <dxf>
      <font>
        <color rgb="FFFF0000"/>
      </font>
    </dxf>
    <dxf>
      <font>
        <color rgb="FFFF0000"/>
      </font>
    </dxf>
    <dxf>
      <font>
        <b/>
        <i val="0"/>
        <strike/>
      </font>
    </dxf>
    <dxf>
      <font>
        <strike/>
        <color auto="1"/>
      </font>
    </dxf>
    <dxf>
      <font>
        <strike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tabSelected="1" zoomScale="200" zoomScaleNormal="200" workbookViewId="0">
      <selection activeCell="E2" sqref="E2"/>
    </sheetView>
  </sheetViews>
  <sheetFormatPr defaultColWidth="11.1640625" defaultRowHeight="7"/>
  <cols>
    <col min="1" max="1" width="4.1640625" style="27" customWidth="1"/>
    <col min="2" max="2" width="18.33203125" style="27" customWidth="1"/>
    <col min="3" max="3" width="10.6640625" style="27" customWidth="1"/>
    <col min="4" max="4" width="46.1640625" style="27" customWidth="1"/>
    <col min="5" max="5" width="11.83203125" style="27" customWidth="1"/>
    <col min="6" max="6" width="3.83203125" style="27" customWidth="1"/>
    <col min="7" max="7" width="8.83203125" style="27" customWidth="1"/>
    <col min="8" max="8" width="6.83203125" style="27" customWidth="1"/>
    <col min="9" max="10" width="7.83203125" style="27" customWidth="1"/>
    <col min="11" max="11" width="14.83203125" style="27" customWidth="1"/>
    <col min="12" max="13" width="15.83203125" style="27" customWidth="1"/>
    <col min="14" max="14" width="9.83203125" style="225" customWidth="1"/>
    <col min="15" max="15" width="12.83203125" style="225" customWidth="1"/>
    <col min="16" max="18" width="4" style="225" customWidth="1"/>
    <col min="19" max="20" width="4" style="27" customWidth="1"/>
    <col min="21" max="34" width="11.1640625" style="27" customWidth="1"/>
    <col min="35" max="35" width="9.83203125" style="27" customWidth="1"/>
    <col min="36" max="36" width="11.1640625" style="27" customWidth="1"/>
    <col min="37" max="37" width="11.83203125" style="27" customWidth="1"/>
    <col min="38" max="38" width="10.83203125" style="27" customWidth="1"/>
    <col min="39" max="198" width="11.1640625" style="27" customWidth="1"/>
    <col min="199" max="199" width="1.83203125" style="27" customWidth="1"/>
    <col min="200" max="16384" width="11.1640625" style="27"/>
  </cols>
  <sheetData>
    <row r="1" spans="1:18" ht="13.5" thickBot="1">
      <c r="A1" s="33"/>
      <c r="B1" s="287" t="str">
        <f>Summary!G7</f>
        <v>BANK POSITION THIS YEAR</v>
      </c>
      <c r="C1" s="40"/>
      <c r="D1" s="40"/>
      <c r="E1" s="40"/>
      <c r="G1" s="35"/>
      <c r="H1" s="28"/>
      <c r="K1" s="28"/>
      <c r="M1" s="30"/>
      <c r="N1" s="27"/>
      <c r="O1" s="27"/>
      <c r="P1" s="27"/>
      <c r="Q1" s="27"/>
      <c r="R1" s="27"/>
    </row>
    <row r="2" spans="1:18" ht="13" thickTop="1">
      <c r="A2" s="33"/>
      <c r="B2" s="363" t="s">
        <v>132</v>
      </c>
      <c r="C2" s="483">
        <v>45642</v>
      </c>
      <c r="D2" s="372"/>
      <c r="E2" s="439">
        <v>3952.73</v>
      </c>
      <c r="H2" s="28"/>
      <c r="K2" s="34"/>
      <c r="L2" s="34"/>
      <c r="M2" s="34"/>
      <c r="N2" s="27"/>
      <c r="O2" s="27"/>
      <c r="P2" s="27"/>
      <c r="Q2" s="27"/>
      <c r="R2" s="27"/>
    </row>
    <row r="3" spans="1:18" ht="7.5" thickBot="1">
      <c r="A3" s="33"/>
      <c r="B3" s="369" t="s">
        <v>142</v>
      </c>
      <c r="C3" s="370"/>
      <c r="D3" s="370"/>
      <c r="E3" s="371">
        <f>Summary!L9</f>
        <v>0</v>
      </c>
      <c r="G3" s="39"/>
      <c r="H3" s="39"/>
      <c r="I3" s="39"/>
      <c r="J3" s="39"/>
      <c r="K3" s="39"/>
      <c r="L3" s="39"/>
      <c r="M3" s="213"/>
      <c r="N3" s="27"/>
      <c r="O3" s="31"/>
    </row>
    <row r="4" spans="1:18" ht="8" thickTop="1" thickBot="1">
      <c r="A4" s="33"/>
      <c r="B4" s="36" t="s">
        <v>124</v>
      </c>
      <c r="C4" s="37"/>
      <c r="D4" s="37"/>
      <c r="E4" s="38">
        <f>SUM(E2:E3)</f>
        <v>3952.73</v>
      </c>
    </row>
    <row r="5" spans="1:18" ht="8" thickTop="1" thickBot="1"/>
    <row r="6" spans="1:18" ht="7.5" thickTop="1">
      <c r="A6" s="33"/>
      <c r="B6" s="363" t="s">
        <v>126</v>
      </c>
      <c r="C6" s="364"/>
      <c r="D6" s="364"/>
      <c r="E6" s="365">
        <v>0</v>
      </c>
      <c r="G6" s="39"/>
      <c r="H6" s="39"/>
      <c r="I6" s="39"/>
      <c r="J6" s="211"/>
      <c r="K6" s="39"/>
      <c r="L6" s="39"/>
      <c r="M6" s="39"/>
    </row>
    <row r="7" spans="1:18" ht="7.5" thickBot="1">
      <c r="A7" s="33"/>
      <c r="B7" s="366" t="s">
        <v>125</v>
      </c>
      <c r="C7" s="367"/>
      <c r="D7" s="367"/>
      <c r="E7" s="368"/>
      <c r="G7" s="39"/>
      <c r="H7" s="39"/>
      <c r="I7" s="39"/>
      <c r="J7" s="212"/>
      <c r="K7" s="39"/>
      <c r="L7" s="39"/>
      <c r="M7" s="39"/>
    </row>
    <row r="8" spans="1:18" ht="15" thickTop="1" thickBot="1">
      <c r="B8" s="36"/>
      <c r="C8" s="37"/>
      <c r="D8" s="638" t="str">
        <f>CONCATENATE("Current Balance Calculated from Start Balance + Trip Accounts + Provisions into ",Summary!B1+1)</f>
        <v>Current Balance Calculated from Start Balance + Trip Accounts + Provisions into 2025</v>
      </c>
      <c r="E8" s="38">
        <f ca="1">Summary!D11</f>
        <v>2002.7299999999987</v>
      </c>
    </row>
    <row r="9" spans="1:18" ht="7.5" thickTop="1"/>
    <row r="10" spans="1:18">
      <c r="B10" s="795" t="s">
        <v>127</v>
      </c>
      <c r="C10" s="795"/>
      <c r="D10" s="795"/>
      <c r="E10" s="795"/>
    </row>
    <row r="11" spans="1:18" s="654" customFormat="1" ht="13.25" customHeight="1">
      <c r="B11" s="794" t="s">
        <v>134</v>
      </c>
      <c r="C11" s="794"/>
      <c r="D11" s="794"/>
      <c r="E11" s="794"/>
      <c r="N11" s="655"/>
      <c r="O11" s="655"/>
      <c r="P11" s="655"/>
      <c r="Q11" s="655"/>
      <c r="R11" s="655"/>
    </row>
    <row r="12" spans="1:18" s="654" customFormat="1" ht="14.75" customHeight="1">
      <c r="B12" s="794" t="s">
        <v>135</v>
      </c>
      <c r="C12" s="794"/>
      <c r="D12" s="794"/>
      <c r="E12" s="794"/>
      <c r="N12" s="655"/>
      <c r="O12" s="655"/>
      <c r="P12" s="655"/>
      <c r="Q12" s="655"/>
      <c r="R12" s="655"/>
    </row>
    <row r="13" spans="1:18" ht="2.75" customHeight="1"/>
    <row r="14" spans="1:18" ht="15" customHeight="1">
      <c r="B14" s="796" t="s">
        <v>188</v>
      </c>
      <c r="C14" s="794"/>
      <c r="D14" s="794"/>
      <c r="E14" s="794"/>
    </row>
    <row r="15" spans="1:18" ht="30">
      <c r="B15" s="792" t="str">
        <f ca="1">IF(ABS(Summary!A12)&gt;0.0001,"ERROR IN ACCOUNTS","")</f>
        <v/>
      </c>
      <c r="C15" s="793"/>
      <c r="D15" s="793"/>
      <c r="E15" s="793"/>
    </row>
    <row r="16" spans="1:18" ht="20.25" customHeight="1">
      <c r="B16" s="791" t="str">
        <f ca="1">IF(ABS(Summary!A12)&gt;0.0001,"In [Trip Accounts], [Provisions &amp; Subs] and [Late Banking], check you have overwritten &lt;post balance&gt; (with a deposit/payment reference) for all trip accounts whose transactions contribute to the bank balance (in cell E2).","")</f>
        <v/>
      </c>
      <c r="C16" s="791"/>
      <c r="D16" s="791"/>
      <c r="E16" s="791"/>
    </row>
  </sheetData>
  <sheetProtection sheet="1" objects="1" scenarios="1"/>
  <mergeCells count="6">
    <mergeCell ref="B16:E16"/>
    <mergeCell ref="B15:E15"/>
    <mergeCell ref="B11:E11"/>
    <mergeCell ref="B10:E10"/>
    <mergeCell ref="B14:E14"/>
    <mergeCell ref="B12:E12"/>
  </mergeCells>
  <phoneticPr fontId="9" type="noConversion"/>
  <pageMargins left="0.75" right="0.75" top="1" bottom="1" header="0.5" footer="0.5"/>
  <pageSetup paperSize="9" scale="205" orientation="landscape" verticalDpi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93"/>
  <sheetViews>
    <sheetView showGridLines="0" showZeros="0" topLeftCell="A2" zoomScale="130" zoomScaleNormal="130" workbookViewId="0">
      <selection activeCell="D1" sqref="A1:XFD1"/>
    </sheetView>
  </sheetViews>
  <sheetFormatPr defaultColWidth="11.1640625" defaultRowHeight="7"/>
  <cols>
    <col min="1" max="1" width="34.83203125" style="269" customWidth="1"/>
    <col min="2" max="2" width="11.83203125" style="269" customWidth="1"/>
    <col min="3" max="3" width="10.83203125" style="269" customWidth="1"/>
    <col min="4" max="4" width="11.83203125" style="269" customWidth="1"/>
    <col min="5" max="5" width="13.83203125" style="269" customWidth="1"/>
    <col min="6" max="6" width="4.1640625" style="269" customWidth="1"/>
    <col min="7" max="8" width="8.83203125" style="269" customWidth="1"/>
    <col min="9" max="9" width="11.83203125" style="269" customWidth="1"/>
    <col min="10" max="10" width="15.83203125" style="269" customWidth="1"/>
    <col min="11" max="11" width="12.83203125" style="269" customWidth="1"/>
    <col min="12" max="12" width="11.83203125" style="269" customWidth="1"/>
    <col min="13" max="13" width="3.83203125" style="269" customWidth="1"/>
    <col min="14" max="14" width="10.33203125" style="269" customWidth="1"/>
    <col min="15" max="15" width="6.83203125" style="269" customWidth="1"/>
    <col min="16" max="16" width="11" style="269" customWidth="1"/>
    <col min="17" max="17" width="7.83203125" style="269" customWidth="1"/>
    <col min="18" max="18" width="14.83203125" style="269" customWidth="1"/>
    <col min="19" max="19" width="15.83203125" style="269" customWidth="1"/>
    <col min="20" max="20" width="21.83203125" style="269" customWidth="1"/>
    <col min="21" max="21" width="9.83203125" style="532" customWidth="1"/>
    <col min="22" max="22" width="12.83203125" style="532" customWidth="1"/>
    <col min="23" max="25" width="4" style="532" customWidth="1"/>
    <col min="26" max="27" width="4" style="269" customWidth="1"/>
    <col min="28" max="28" width="11.1640625" style="269" customWidth="1"/>
    <col min="29" max="41" width="11.1640625" style="269"/>
    <col min="42" max="42" width="9.83203125" style="269" customWidth="1"/>
    <col min="43" max="43" width="11.1640625" style="269"/>
    <col min="44" max="44" width="11.83203125" style="269" customWidth="1"/>
    <col min="45" max="45" width="10.83203125" style="269" customWidth="1"/>
    <col min="46" max="205" width="11.1640625" style="269"/>
    <col min="206" max="206" width="1.83203125" style="269" customWidth="1"/>
    <col min="207" max="16384" width="11.1640625" style="269"/>
  </cols>
  <sheetData>
    <row r="1" spans="1:28" s="504" customFormat="1" ht="27" hidden="1" customHeight="1">
      <c r="A1" s="503" t="s">
        <v>85</v>
      </c>
      <c r="B1" s="673">
        <v>2024</v>
      </c>
      <c r="C1" s="503" t="s">
        <v>86</v>
      </c>
      <c r="D1" s="503"/>
      <c r="E1" s="675">
        <v>45414</v>
      </c>
      <c r="F1" s="503"/>
      <c r="G1" s="503" t="s">
        <v>89</v>
      </c>
      <c r="H1" s="503"/>
      <c r="I1" s="503"/>
      <c r="J1" s="674">
        <v>0.25</v>
      </c>
      <c r="K1" s="505" t="s">
        <v>117</v>
      </c>
      <c r="L1" s="506"/>
      <c r="S1" s="504" t="s">
        <v>101</v>
      </c>
      <c r="T1" s="626">
        <v>45682</v>
      </c>
    </row>
    <row r="2" spans="1:28" ht="35.25" customHeight="1">
      <c r="A2" s="507" t="str">
        <f>CONCATENATE("OLYMPIC ",IF(T1&gt;DATE(B1,12,31),CONCATENATE(B1," FINAL"),"")," ACCOUNTS")</f>
        <v>OLYMPIC 2024 FINAL ACCOUNTS</v>
      </c>
      <c r="B2" s="508"/>
      <c r="C2" s="509"/>
      <c r="D2" s="509"/>
      <c r="E2" s="510"/>
      <c r="G2" s="511"/>
      <c r="K2" s="512"/>
      <c r="L2" s="513"/>
      <c r="N2" s="608">
        <f ca="1">$D$11-($L$11+$T$16+$T$15)</f>
        <v>0</v>
      </c>
      <c r="P2" s="698" t="str">
        <f>IF(T1&gt;DATE(B1,12,31),"","STATUS REPORT")</f>
        <v/>
      </c>
      <c r="T2" s="514" t="str">
        <f>TEXT(T1,"dd mmmmmmm yyy")</f>
        <v>25 January 2025</v>
      </c>
      <c r="U2" s="269"/>
      <c r="V2" s="269"/>
      <c r="W2" s="269"/>
      <c r="X2" s="269"/>
      <c r="Y2" s="269"/>
    </row>
    <row r="3" spans="1:28" ht="24.5" customHeight="1" thickBot="1">
      <c r="A3" s="410" t="s">
        <v>0</v>
      </c>
      <c r="C3" s="515" t="s">
        <v>1</v>
      </c>
      <c r="G3" s="410" t="s">
        <v>2</v>
      </c>
      <c r="K3" s="516"/>
      <c r="N3" s="517" t="s">
        <v>3</v>
      </c>
      <c r="O3" s="509"/>
      <c r="U3" s="696"/>
      <c r="V3" s="269"/>
      <c r="W3" s="269"/>
      <c r="X3" s="269"/>
      <c r="Y3" s="269"/>
    </row>
    <row r="4" spans="1:28" ht="13.5" thickTop="1">
      <c r="A4" s="518" t="str">
        <f>CONCATENATE("TOTAL REAL INCOME IN ",$B$1)</f>
        <v>TOTAL REAL INCOME IN 2024</v>
      </c>
      <c r="B4" s="276"/>
      <c r="C4" s="276"/>
      <c r="D4" s="519">
        <f>B29</f>
        <v>10001.36</v>
      </c>
      <c r="G4" s="518" t="s">
        <v>7</v>
      </c>
      <c r="H4" s="276"/>
      <c r="I4" s="520">
        <v>45314</v>
      </c>
      <c r="J4" s="276"/>
      <c r="K4" s="276"/>
      <c r="L4" s="521">
        <v>2220.4699999999998</v>
      </c>
      <c r="P4" s="522"/>
      <c r="S4" s="523" t="str">
        <f>IF(J46-J28&lt;0,"We budgeted for a LOSS of: ",CONCATENATE("We budgeted for an ANNUAL SURPLUS of:"))</f>
        <v xml:space="preserve">We budgeted for a LOSS of: </v>
      </c>
      <c r="T4" s="556">
        <f>ABS(J46-J28)</f>
        <v>1266.0000000000009</v>
      </c>
      <c r="U4" s="696"/>
      <c r="V4" s="269"/>
      <c r="W4" s="269"/>
      <c r="X4" s="269"/>
      <c r="Y4" s="269"/>
    </row>
    <row r="5" spans="1:28" ht="13">
      <c r="A5" s="270" t="str">
        <f>CONCATENATE("TOTAL REAL EXPENDITURE IN ",$B$1)</f>
        <v>TOTAL REAL EXPENDITURE IN 2024</v>
      </c>
      <c r="D5" s="524">
        <f>-B48</f>
        <v>-8269.1</v>
      </c>
      <c r="F5" s="525"/>
      <c r="G5" s="612" t="s">
        <v>182</v>
      </c>
      <c r="L5" s="524"/>
      <c r="O5" s="522"/>
      <c r="P5" s="522"/>
      <c r="R5" s="526"/>
      <c r="S5" s="523" t="str">
        <f ca="1">CONCATENATE(IF(D10-D11&gt;0,"We achieved a net ANNUAL LOSS of:","We achieved a net ANNUAL SURPLUS of:"))</f>
        <v>We achieved a net ANNUAL LOSS of:</v>
      </c>
      <c r="T5" s="509">
        <f ca="1">ABS(D10-D11)</f>
        <v>217.73999999999978</v>
      </c>
      <c r="U5" s="269"/>
      <c r="V5" s="269"/>
      <c r="W5" s="269"/>
      <c r="X5" s="269"/>
      <c r="Y5" s="269"/>
    </row>
    <row r="6" spans="1:28" ht="7.5" thickBot="1">
      <c r="A6" s="612" t="str">
        <f>CONCATENATE("NET PROVISIONS FROM ",$B$1," INTO ",$B$1+1)</f>
        <v>NET PROVISIONS FROM 2024 INTO 2025</v>
      </c>
      <c r="D6" s="524">
        <f ca="1">($T$15+$T$16)</f>
        <v>-1950</v>
      </c>
      <c r="E6" s="270"/>
      <c r="F6" s="525"/>
      <c r="G6" s="271" t="str">
        <f>CONCATENATE("BALANCE REPORTED LAST YEAR FOR START OF YEAR ",$B$1)</f>
        <v>BALANCE REPORTED LAST YEAR FOR START OF YEAR 2024</v>
      </c>
      <c r="H6" s="272"/>
      <c r="I6" s="272"/>
      <c r="J6" s="272"/>
      <c r="K6" s="272"/>
      <c r="L6" s="552">
        <f>SUM(L4:L5)</f>
        <v>2220.4699999999998</v>
      </c>
      <c r="U6" s="697" t="str">
        <f>IF(U3&gt;U4,B1,"")</f>
        <v/>
      </c>
      <c r="V6" s="269"/>
      <c r="W6" s="269"/>
      <c r="X6" s="269"/>
      <c r="Y6" s="269"/>
    </row>
    <row r="7" spans="1:28" ht="13.5" thickTop="1" thickBot="1">
      <c r="A7" s="527" t="s">
        <v>4</v>
      </c>
      <c r="B7" s="528"/>
      <c r="C7" s="528"/>
      <c r="D7" s="529">
        <f ca="1">D4+D5+D6</f>
        <v>-217.73999999999978</v>
      </c>
      <c r="E7" s="270"/>
      <c r="F7" s="525"/>
      <c r="G7" s="414" t="s">
        <v>6</v>
      </c>
      <c r="H7" s="549"/>
      <c r="I7" s="549"/>
      <c r="J7" s="549"/>
      <c r="K7" s="549"/>
      <c r="L7" s="549"/>
      <c r="N7" s="509" t="s">
        <v>195</v>
      </c>
      <c r="T7" s="748">
        <v>2220.4699999999984</v>
      </c>
      <c r="U7" s="269"/>
      <c r="V7" s="269"/>
      <c r="W7" s="269"/>
      <c r="X7" s="269"/>
      <c r="Y7" s="269"/>
    </row>
    <row r="8" spans="1:28" ht="14" thickTop="1" thickBot="1">
      <c r="A8" s="530" t="str">
        <f>CONCATENATE("SURPLUS ON PROVISIONED ARREARS OF YEAR ",$B$1-1," ACCOUNTS")</f>
        <v>SURPLUS ON PROVISIONED ARREARS OF YEAR 2023 ACCOUNTS</v>
      </c>
      <c r="D8" s="524">
        <f>'PROVISIONS &amp; SUBS'!I33-'PROVISIONS &amp; SUBS'!I45</f>
        <v>0</v>
      </c>
      <c r="E8" s="270"/>
      <c r="F8" s="525"/>
      <c r="G8" s="518" t="s">
        <v>7</v>
      </c>
      <c r="H8" s="276"/>
      <c r="I8" s="520">
        <f>'Di''s Summary'!C2</f>
        <v>45642</v>
      </c>
      <c r="J8" s="276"/>
      <c r="K8" s="276"/>
      <c r="L8" s="521">
        <f>'Di''s Summary'!E2</f>
        <v>3952.73</v>
      </c>
      <c r="N8" s="526" t="str">
        <f ca="1">CONCATENATE("Floating Fund ",IF(T8&lt;J28,"is now down to"," is now up to"),":")</f>
        <v>Floating Fund is now down to:</v>
      </c>
      <c r="O8" s="509"/>
      <c r="P8" s="512"/>
      <c r="Q8" s="509"/>
      <c r="S8" s="749"/>
      <c r="T8" s="750">
        <f ca="1">SUM(T7:T7)-(D10-D11)</f>
        <v>2002.7299999999987</v>
      </c>
      <c r="U8" s="269"/>
    </row>
    <row r="9" spans="1:28" ht="12.5">
      <c r="A9" s="533" t="s">
        <v>155</v>
      </c>
      <c r="D9" s="524"/>
      <c r="E9" s="270"/>
      <c r="F9" s="525"/>
      <c r="G9" s="270" t="s">
        <v>120</v>
      </c>
      <c r="L9" s="539">
        <f>TRIP_ACCOUNTS!U145+'LATE BANKING'!AA1-L10</f>
        <v>0</v>
      </c>
      <c r="P9" s="631"/>
      <c r="S9" s="723" t="s">
        <v>196</v>
      </c>
      <c r="T9" s="509">
        <f>$J$46</f>
        <v>954.46999999999753</v>
      </c>
      <c r="U9" s="269"/>
      <c r="V9" s="660"/>
      <c r="AB9" s="269">
        <f>V6-V9</f>
        <v>0</v>
      </c>
    </row>
    <row r="10" spans="1:28" ht="7.5" thickBot="1">
      <c r="A10" s="270" t="s">
        <v>5</v>
      </c>
      <c r="D10" s="534">
        <f>J28</f>
        <v>2220.4699999999984</v>
      </c>
      <c r="E10" s="270"/>
      <c r="F10" s="525"/>
      <c r="G10" s="612"/>
      <c r="L10" s="539"/>
      <c r="U10" s="269"/>
      <c r="V10" s="660"/>
      <c r="W10" s="269"/>
      <c r="X10" s="269"/>
      <c r="Y10" s="269"/>
    </row>
    <row r="11" spans="1:28" ht="11" thickTop="1" thickBot="1">
      <c r="A11" s="540" t="s">
        <v>8</v>
      </c>
      <c r="B11" s="541"/>
      <c r="C11" s="541"/>
      <c r="D11" s="542">
        <f ca="1">SUM(D7:D10)</f>
        <v>2002.7299999999987</v>
      </c>
      <c r="E11" s="270"/>
      <c r="F11" s="525"/>
      <c r="G11" s="271" t="str">
        <f>IF(T1&gt;DATE(B1+1,1,25),"EFFECTIVE YEAR-END BALANCE","CURRENT BALANCE AFTER ALL CHEQUES AND DEPOSITS")</f>
        <v>CURRENT BALANCE AFTER ALL CHEQUES AND DEPOSITS</v>
      </c>
      <c r="H11" s="272"/>
      <c r="I11" s="272"/>
      <c r="J11" s="272"/>
      <c r="K11" s="272"/>
      <c r="L11" s="552">
        <f>SUM(L8:L10)</f>
        <v>3952.73</v>
      </c>
      <c r="N11" s="599" t="s">
        <v>271</v>
      </c>
      <c r="O11" s="786"/>
      <c r="P11" s="786"/>
      <c r="Q11" s="786"/>
      <c r="R11" s="786"/>
      <c r="S11" s="786"/>
      <c r="T11" s="786"/>
      <c r="U11" s="269"/>
      <c r="V11" s="269"/>
      <c r="W11" s="269"/>
      <c r="X11" s="269"/>
      <c r="Y11" s="269"/>
    </row>
    <row r="12" spans="1:28" ht="7.5" thickTop="1">
      <c r="A12" s="269">
        <f ca="1">IF(ABS($D$11-$L$11-$T$16-$T$15)&lt;0.0001,0,B12-D12)</f>
        <v>0</v>
      </c>
      <c r="B12" s="269">
        <f ca="1">IF(ABS($D$11-$L$11-$T$16-$T$15)&lt;0.0001,0,$D$11-($L$11+$T$16+$T$15))</f>
        <v>0</v>
      </c>
      <c r="C12" s="543"/>
      <c r="D12" s="269">
        <f ca="1">IF(ABS($D$11-$L$11-($T$16+$T$15))&lt;0.0001,0,L11)</f>
        <v>0</v>
      </c>
      <c r="F12" s="525"/>
      <c r="U12" s="269"/>
      <c r="V12" s="522"/>
    </row>
    <row r="13" spans="1:28" ht="11" thickBot="1">
      <c r="A13" s="278" t="s">
        <v>9</v>
      </c>
      <c r="F13" s="525"/>
      <c r="G13" s="410" t="s">
        <v>178</v>
      </c>
      <c r="H13" s="544"/>
      <c r="N13" s="684" t="str">
        <f>CONCATENATE("PROVISIONS INTO ",$B$1+1)</f>
        <v>PROVISIONS INTO 2025</v>
      </c>
      <c r="T13" s="531"/>
      <c r="Y13" s="531" t="s">
        <v>194</v>
      </c>
    </row>
    <row r="14" spans="1:28" ht="8.75" customHeight="1" thickTop="1">
      <c r="A14" s="518"/>
      <c r="B14" s="276"/>
      <c r="C14" s="737" t="s">
        <v>10</v>
      </c>
      <c r="D14" s="739" t="s">
        <v>11</v>
      </c>
      <c r="E14" s="739" t="s">
        <v>136</v>
      </c>
      <c r="F14" s="525"/>
      <c r="G14" s="737" t="s">
        <v>179</v>
      </c>
      <c r="H14" s="276"/>
      <c r="I14" s="677" t="str">
        <f>CONCATENATE(IF($D$15&gt;$C$15,"Down on last year by ","Up on last year by "),ROUND(($D$15-$C$15)/$D$15*IF($D$15&gt;$C$15,1,-1)*100,0),"%")</f>
        <v>Down on last year by 39%</v>
      </c>
      <c r="J14" s="677"/>
      <c r="K14" s="677"/>
      <c r="L14" s="519"/>
      <c r="N14" s="518"/>
      <c r="O14" s="736"/>
      <c r="P14" s="276"/>
      <c r="Q14" s="276"/>
      <c r="R14" s="276"/>
      <c r="S14" s="736"/>
      <c r="T14" s="519"/>
    </row>
    <row r="15" spans="1:28" ht="8.75" customHeight="1">
      <c r="A15" s="270" t="s">
        <v>12</v>
      </c>
      <c r="C15" s="546">
        <f>+TRIP_ACCOUNTS!U118</f>
        <v>31</v>
      </c>
      <c r="D15" s="546">
        <v>50.5</v>
      </c>
      <c r="E15" s="547">
        <v>55</v>
      </c>
      <c r="F15" s="525"/>
      <c r="G15" s="738" t="s">
        <v>184</v>
      </c>
      <c r="H15" s="544"/>
      <c r="I15" s="544" t="str">
        <f>CONCATENATE(TRIP_ACCOUNTS!U122," out of ",TRIP_ACCOUNTS!U123, " possible weeks" )</f>
        <v>7 out of 26 possible weeks</v>
      </c>
      <c r="K15" s="544"/>
      <c r="L15" s="534"/>
      <c r="N15" s="612" t="s">
        <v>180</v>
      </c>
      <c r="O15" s="531" t="str">
        <f>'PROVISIONS &amp; SUBS'!A53</f>
        <v>Winter Mooring Refund</v>
      </c>
      <c r="R15" s="629">
        <f>'PROVISIONS &amp; SUBS'!G69</f>
        <v>0</v>
      </c>
      <c r="S15" s="629"/>
      <c r="T15" s="680">
        <f>'PROVISIONS &amp; SUBS'!G59</f>
        <v>900</v>
      </c>
    </row>
    <row r="16" spans="1:28" ht="7.5" thickBot="1">
      <c r="A16" s="548" t="s">
        <v>13</v>
      </c>
      <c r="B16" s="549"/>
      <c r="C16" s="550">
        <f>+TRIP_ACCOUNTS!U119</f>
        <v>45</v>
      </c>
      <c r="D16" s="550">
        <v>78.5</v>
      </c>
      <c r="E16" s="551">
        <v>94</v>
      </c>
      <c r="F16" s="525"/>
      <c r="G16" s="548"/>
      <c r="H16" s="678"/>
      <c r="I16" s="678" t="s">
        <v>199</v>
      </c>
      <c r="J16" s="549"/>
      <c r="K16" s="678"/>
      <c r="L16" s="679"/>
      <c r="N16" s="632" t="s">
        <v>181</v>
      </c>
      <c r="O16" s="681" t="s">
        <v>263</v>
      </c>
      <c r="P16" s="549"/>
      <c r="Q16" s="549"/>
      <c r="R16" s="682" t="s">
        <v>272</v>
      </c>
      <c r="S16" s="682"/>
      <c r="T16" s="775">
        <f ca="1">-SUM(T86:T90)</f>
        <v>-2850</v>
      </c>
      <c r="Y16" s="531"/>
    </row>
    <row r="17" spans="1:21" ht="8" thickTop="1" thickBot="1">
      <c r="T17" s="553"/>
    </row>
    <row r="18" spans="1:21" ht="14" thickTop="1" thickBot="1">
      <c r="A18" s="803" t="s">
        <v>14</v>
      </c>
      <c r="D18" s="410" t="s">
        <v>15</v>
      </c>
      <c r="I18" s="518" t="s">
        <v>16</v>
      </c>
      <c r="J18" s="554" t="s">
        <v>17</v>
      </c>
      <c r="K18" s="555" t="s">
        <v>99</v>
      </c>
      <c r="L18" s="519"/>
      <c r="N18" s="556" t="str">
        <f>IF(ABS(K29)&gt;ABS(J24*0.05),IF(K29&lt;0,CONCATENATE("Under Budget by: £",ABS(ROUND(K29,2))),CONCATENATE("Over budget by: £",ABS(ROUND(K29,2)))),IF(K29&lt;0,CONCATENATE("Within 5% of budget; less than budget by: £",ABS(ROUND(K29,2))),CONCATENATE("Within 5% of budget; more than budget by  £",ABS(ROUND(K29,2)))))</f>
        <v>Over budget by: £2771.42</v>
      </c>
      <c r="O18" s="556"/>
      <c r="T18" s="556"/>
    </row>
    <row r="19" spans="1:21" ht="10.5" thickTop="1">
      <c r="A19" s="804"/>
      <c r="D19" s="635" t="s">
        <v>266</v>
      </c>
      <c r="E19" s="276"/>
      <c r="F19" s="276"/>
      <c r="G19" s="276"/>
      <c r="H19" s="276"/>
      <c r="I19" s="557">
        <f>B25+B28</f>
        <v>7650</v>
      </c>
      <c r="J19" s="558">
        <f>9*500</f>
        <v>4500</v>
      </c>
      <c r="K19" s="559">
        <f>I19-J19</f>
        <v>3150</v>
      </c>
      <c r="L19" s="560" t="str">
        <f>IF(I19-J19-K19&lt;0.0000001,"","see provisions")</f>
        <v/>
      </c>
      <c r="N19" s="512" t="str">
        <f>CONCATENATE("Participants - (",TEXT(K19,"£0"),")")</f>
        <v>Participants - (£3150)</v>
      </c>
      <c r="O19" s="512"/>
      <c r="P19" s="512"/>
      <c r="Q19" s="512" t="s">
        <v>267</v>
      </c>
    </row>
    <row r="20" spans="1:21" ht="10.5" thickBot="1">
      <c r="A20" s="735"/>
      <c r="D20" s="270" t="s">
        <v>18</v>
      </c>
      <c r="I20" s="559">
        <f>B24</f>
        <v>1125</v>
      </c>
      <c r="J20" s="561">
        <v>1500</v>
      </c>
      <c r="K20" s="559">
        <f>I20-J20</f>
        <v>-375</v>
      </c>
      <c r="L20" s="562" t="str">
        <f>IF(I20-J20-K20&lt;0.0000001,"","see provisions")</f>
        <v/>
      </c>
      <c r="N20" s="512" t="str">
        <f>CONCATENATE("Non participants - (",TEXT(K20,"£0"),")")</f>
        <v>Non participants - (-£375)</v>
      </c>
      <c r="R20" s="801"/>
      <c r="S20" s="800"/>
      <c r="T20" s="800"/>
    </row>
    <row r="21" spans="1:21" ht="11.5" thickTop="1" thickBot="1">
      <c r="A21" s="278" t="s">
        <v>20</v>
      </c>
      <c r="B21" s="545" t="s">
        <v>22</v>
      </c>
      <c r="D21" s="270" t="s">
        <v>19</v>
      </c>
      <c r="I21" s="559">
        <f>B22-B39</f>
        <v>145.03000000000003</v>
      </c>
      <c r="J21" s="559">
        <v>15</v>
      </c>
      <c r="K21" s="559">
        <f>I21-J21</f>
        <v>130.03000000000003</v>
      </c>
      <c r="L21" s="562" t="str">
        <f>IF(I21-J21-K21&lt;0.0000001,"","see provisions")</f>
        <v/>
      </c>
      <c r="N21" s="512"/>
      <c r="O21" s="512"/>
      <c r="R21" s="563"/>
    </row>
    <row r="22" spans="1:21" ht="10.5" thickTop="1">
      <c r="A22" s="518" t="s">
        <v>23</v>
      </c>
      <c r="B22" s="564">
        <f>+TRIP_ACCOUNTS!U125</f>
        <v>396.36</v>
      </c>
      <c r="D22" s="270" t="s">
        <v>21</v>
      </c>
      <c r="I22" s="559">
        <f>B23-B37</f>
        <v>266.3900000000001</v>
      </c>
      <c r="J22" s="559">
        <v>400</v>
      </c>
      <c r="K22" s="559">
        <f>ROUND(I22-J22,2)</f>
        <v>-133.61000000000001</v>
      </c>
      <c r="L22" s="562" t="str">
        <f>IF(I22-J22-K22&lt;0.0000001,"","see provisions")</f>
        <v/>
      </c>
      <c r="O22" s="512"/>
    </row>
    <row r="23" spans="1:21" ht="10">
      <c r="A23" s="270" t="s">
        <v>24</v>
      </c>
      <c r="B23" s="565">
        <f>+TRIP_ACCOUNTS!U126</f>
        <v>830</v>
      </c>
      <c r="D23" s="270">
        <f>A26</f>
        <v>0</v>
      </c>
      <c r="I23" s="428">
        <f>B26</f>
        <v>0</v>
      </c>
      <c r="J23" s="428"/>
      <c r="K23" s="559">
        <f>ROUND(I23-J23,2)</f>
        <v>0</v>
      </c>
      <c r="L23" s="562"/>
      <c r="N23" s="512" t="s">
        <v>137</v>
      </c>
    </row>
    <row r="24" spans="1:21" ht="10.5" thickBot="1">
      <c r="A24" s="270" t="s">
        <v>27</v>
      </c>
      <c r="B24" s="565">
        <f>+TRIP_ACCOUNTS!U127</f>
        <v>1125</v>
      </c>
      <c r="D24" s="566" t="str">
        <f>CONCATENATE("ANNUAL INCOME FOR ",$B$1)</f>
        <v>ANNUAL INCOME FOR 2024</v>
      </c>
      <c r="E24" s="567"/>
      <c r="F24" s="567"/>
      <c r="G24" s="567"/>
      <c r="H24" s="567"/>
      <c r="I24" s="568">
        <f>SUM(I19:I23)</f>
        <v>9186.42</v>
      </c>
      <c r="J24" s="568">
        <f>SUM(J19:J23)</f>
        <v>6415</v>
      </c>
      <c r="K24" s="569">
        <f>SUM(K19:K23)</f>
        <v>2771.42</v>
      </c>
      <c r="L24" s="570"/>
      <c r="Q24" s="571">
        <f>+$B$1</f>
        <v>2024</v>
      </c>
      <c r="R24" s="571">
        <v>2023</v>
      </c>
      <c r="S24" s="571">
        <v>2021</v>
      </c>
      <c r="T24" s="571">
        <v>2020</v>
      </c>
    </row>
    <row r="25" spans="1:21" ht="10.5" thickTop="1">
      <c r="A25" s="270" t="s">
        <v>29</v>
      </c>
      <c r="B25" s="565">
        <f>+'PROVISIONS &amp; SUBS'!K16</f>
        <v>4500</v>
      </c>
      <c r="D25" s="535" t="str">
        <f>CONCATENATE("FUNDS BROUGHT FORWARD FROM  ",$B$1-1," BUDGET" )</f>
        <v>FUNDS BROUGHT FORWARD FROM  2023 BUDGET</v>
      </c>
      <c r="E25" s="536"/>
      <c r="F25" s="536"/>
      <c r="G25" s="536"/>
      <c r="H25" s="536"/>
      <c r="I25" s="572"/>
      <c r="J25" s="572"/>
      <c r="K25" s="573"/>
      <c r="L25" s="537"/>
      <c r="N25" s="269" t="s">
        <v>25</v>
      </c>
      <c r="O25" s="574" t="s">
        <v>26</v>
      </c>
      <c r="Q25" s="269">
        <f>(B34+B35)/(C15+0.000001)</f>
        <v>8.7348384279084375</v>
      </c>
      <c r="R25" s="269">
        <v>15.443564050622495</v>
      </c>
      <c r="S25" s="269">
        <v>12.160545233444632</v>
      </c>
      <c r="T25" s="269">
        <v>10.776562331616216</v>
      </c>
      <c r="U25" s="553"/>
    </row>
    <row r="26" spans="1:21" hidden="1">
      <c r="A26" s="270"/>
      <c r="B26" s="565"/>
      <c r="D26" s="530" t="str">
        <f>CONCATENATE("    Expenses unpaid in ",$B$1-1,", provisioned into ",$B$1)</f>
        <v xml:space="preserve">    Expenses unpaid in 2023, provisioned into 2024</v>
      </c>
      <c r="I26" s="561">
        <f>J26</f>
        <v>0</v>
      </c>
      <c r="J26" s="561"/>
      <c r="K26" s="559">
        <f>J26-I26</f>
        <v>0</v>
      </c>
      <c r="L26" s="534"/>
      <c r="U26" s="553"/>
    </row>
    <row r="27" spans="1:21" ht="10">
      <c r="A27" s="612" t="str">
        <f>CONCATENATE($B$1+1," INCOME RECIEVED EARLY")</f>
        <v>2025 INCOME RECIEVED EARLY</v>
      </c>
      <c r="B27" s="565">
        <f>+'PROVISIONS &amp; SUBS'!G69</f>
        <v>0</v>
      </c>
      <c r="D27" s="530" t="str">
        <f>CONCATENATE("    Net provisions recieved from year ",$B$1-1)</f>
        <v xml:space="preserve">    Net provisions recieved from year 2023</v>
      </c>
      <c r="H27" s="575"/>
      <c r="I27" s="561">
        <f>J27</f>
        <v>0</v>
      </c>
      <c r="J27" s="561">
        <f>'PROVISIONS &amp; SUBS'!H33</f>
        <v>0</v>
      </c>
      <c r="K27" s="559">
        <f>I27-J27</f>
        <v>0</v>
      </c>
      <c r="L27" s="534"/>
      <c r="N27" s="269" t="s">
        <v>25</v>
      </c>
      <c r="O27" s="574" t="s">
        <v>28</v>
      </c>
      <c r="Q27" s="269">
        <f>B33/(C15+0.000001)</f>
        <v>8.81709648977108</v>
      </c>
      <c r="R27" s="269">
        <v>2.7029702435055398</v>
      </c>
      <c r="S27" s="269">
        <v>5.8445453482809935</v>
      </c>
      <c r="T27" s="269">
        <v>7.4487498836132842</v>
      </c>
    </row>
    <row r="28" spans="1:21" ht="10">
      <c r="A28" s="612" t="s">
        <v>173</v>
      </c>
      <c r="B28" s="565">
        <f>'PROVISIONS &amp; SUBS'!K17</f>
        <v>3150</v>
      </c>
      <c r="D28" s="270" t="str">
        <f>CONCATENATE("    Floating fund brought forward from end of year ",$B$1-1)</f>
        <v xml:space="preserve">    Floating fund brought forward from end of year 2023</v>
      </c>
      <c r="I28" s="561">
        <f>J28</f>
        <v>2220.4699999999984</v>
      </c>
      <c r="J28" s="561">
        <f>T7</f>
        <v>2220.4699999999984</v>
      </c>
      <c r="K28" s="559">
        <f>J28-I28</f>
        <v>0</v>
      </c>
      <c r="L28" s="534"/>
      <c r="N28" s="269" t="s">
        <v>30</v>
      </c>
      <c r="O28" s="574" t="s">
        <v>31</v>
      </c>
      <c r="Q28" s="269">
        <f>B38/(TRIP_ACCOUNTS!U122+0.000001)</f>
        <v>35.904280585102768</v>
      </c>
      <c r="R28" s="269">
        <v>30.475382271124442</v>
      </c>
      <c r="S28" s="269">
        <v>27.423074813609631</v>
      </c>
      <c r="T28" s="269">
        <v>24.563331695777887</v>
      </c>
      <c r="U28" s="553"/>
    </row>
    <row r="29" spans="1:21" ht="7.5" thickBot="1">
      <c r="A29" s="271" t="s">
        <v>32</v>
      </c>
      <c r="B29" s="576">
        <f>SUM(B22:B28)</f>
        <v>10001.36</v>
      </c>
      <c r="D29" s="271" t="s">
        <v>33</v>
      </c>
      <c r="E29" s="272"/>
      <c r="F29" s="272"/>
      <c r="G29" s="272"/>
      <c r="H29" s="272"/>
      <c r="I29" s="427">
        <f>SUM(I24:I28)</f>
        <v>11406.89</v>
      </c>
      <c r="J29" s="427">
        <f>SUM(J24:J28)</f>
        <v>8635.4699999999975</v>
      </c>
      <c r="K29" s="577">
        <f>SUM(K24:K28)</f>
        <v>2771.42</v>
      </c>
      <c r="L29" s="578"/>
    </row>
    <row r="30" spans="1:21" ht="7.5" thickTop="1">
      <c r="D30" s="276"/>
      <c r="E30" s="276"/>
      <c r="F30" s="276"/>
      <c r="G30" s="276"/>
      <c r="H30" s="276"/>
      <c r="I30" s="276"/>
    </row>
    <row r="31" spans="1:21" ht="11" thickBot="1">
      <c r="A31" s="278" t="s">
        <v>34</v>
      </c>
      <c r="D31" s="799" t="s">
        <v>35</v>
      </c>
      <c r="E31" s="800"/>
      <c r="F31" s="800"/>
      <c r="G31" s="800"/>
      <c r="H31" s="800"/>
      <c r="I31" s="800"/>
      <c r="J31" s="525"/>
      <c r="K31" s="785" t="str">
        <f ca="1">IF(I29-I47&lt;0.01," ",CONCATENATE("Expenditure/Income inbalance by ",TEXT(I29-I47,"£0.00")))</f>
        <v xml:space="preserve"> </v>
      </c>
      <c r="T31" s="745"/>
    </row>
    <row r="32" spans="1:21" ht="9.75" customHeight="1" thickTop="1" thickBot="1">
      <c r="A32" s="518" t="s">
        <v>36</v>
      </c>
      <c r="B32" s="579" t="s">
        <v>22</v>
      </c>
      <c r="D32" s="800"/>
      <c r="E32" s="800"/>
      <c r="F32" s="800"/>
      <c r="G32" s="800"/>
      <c r="H32" s="800"/>
      <c r="I32" s="800"/>
      <c r="N32" s="802" t="str">
        <f ca="1">IF(ABS(K44)&gt;ABS(J44*0.05),IF(K44&gt;0,CONCATENATE("Under Budget by: £",ABS(ROUND(K44,2))),CONCATENATE("Over budget by: £",ABS(ROUND(K44,2)))),IF(K44&gt;0,CONCATENATE("Within 5% of budget; less than budget by: £",ABS(ROUND(K44,2))),CONCATENATE("Within 5% of budget; more than budget by only £",ABS(ROUND(K44,2)))))</f>
        <v>Over budget by: £1723.16</v>
      </c>
      <c r="O32" s="800"/>
      <c r="P32" s="800"/>
      <c r="Q32" s="800"/>
      <c r="R32" s="800"/>
      <c r="S32" s="800"/>
      <c r="T32" s="800"/>
    </row>
    <row r="33" spans="1:24" ht="8.25" customHeight="1" thickTop="1">
      <c r="A33" s="535" t="s">
        <v>37</v>
      </c>
      <c r="B33" s="564">
        <f>+TRIP_ACCOUNTS!U130</f>
        <v>273.33</v>
      </c>
      <c r="C33" s="270"/>
      <c r="D33" s="800"/>
      <c r="E33" s="800"/>
      <c r="F33" s="800"/>
      <c r="G33" s="800"/>
      <c r="H33" s="800"/>
      <c r="I33" s="800"/>
      <c r="N33" s="800"/>
      <c r="O33" s="800"/>
      <c r="P33" s="800"/>
      <c r="Q33" s="800"/>
      <c r="R33" s="800"/>
      <c r="S33" s="800"/>
      <c r="T33" s="800"/>
      <c r="U33" s="522"/>
      <c r="V33" s="724" t="s">
        <v>197</v>
      </c>
    </row>
    <row r="34" spans="1:24" ht="10.25" customHeight="1" thickBot="1">
      <c r="A34" s="612" t="s">
        <v>156</v>
      </c>
      <c r="B34" s="565">
        <f>+TRIP_ACCOUNTS!U131</f>
        <v>270.77999999999997</v>
      </c>
      <c r="C34" s="270"/>
      <c r="D34" s="410" t="s">
        <v>40</v>
      </c>
      <c r="E34" s="410"/>
      <c r="N34" s="747"/>
      <c r="O34" s="512" t="str">
        <f>CONCATENATE("CRT Moorings budget ",IF(TRIP_ACCOUNTS!U148/P35&gt;1.05,"TOO SMALL",IF(TRIP_ACCOUNTS!U148/P35&lt;0.95,"OVER ESTIMATED","ABOUT RIGHT")))</f>
        <v>CRT Moorings budget ABOUT RIGHT</v>
      </c>
      <c r="T34" s="805" t="str">
        <f>CONCATENATE("Includes estimated £",T15," refund of Winter Mooring")</f>
        <v>Includes estimated £900 refund of Winter Mooring</v>
      </c>
    </row>
    <row r="35" spans="1:24" ht="10.25" customHeight="1" thickTop="1" thickBot="1">
      <c r="A35" s="270" t="s">
        <v>39</v>
      </c>
      <c r="B35" s="565">
        <f>+TRIP_ACCOUNTS!U132</f>
        <v>0</v>
      </c>
      <c r="C35" s="270"/>
      <c r="F35" s="410"/>
      <c r="G35" s="410"/>
      <c r="H35" s="410"/>
      <c r="I35" s="518" t="s">
        <v>16</v>
      </c>
      <c r="J35" s="554" t="s">
        <v>17</v>
      </c>
      <c r="K35" s="555" t="s">
        <v>99</v>
      </c>
      <c r="L35" s="519"/>
      <c r="N35" s="747" t="b">
        <f>P35&lt;TRIP_ACCOUNTS!U148</f>
        <v>0</v>
      </c>
      <c r="O35" s="746" t="str">
        <f>IF(N35,"!",CHAR(169))</f>
        <v>©</v>
      </c>
      <c r="P35" s="581">
        <v>1021</v>
      </c>
      <c r="Q35" s="512" t="str">
        <f>CONCATENATE("budgeted versus £",TRIP_ACCOUNTS!U148-T15, " spent")</f>
        <v>budgeted versus £74.04 spent</v>
      </c>
      <c r="T35" s="805"/>
      <c r="V35" s="532" t="b">
        <f>ABS(P35-TRIP_ACCOUNTS!U148)/(P35+0.0000001)&gt;0.1</f>
        <v>0</v>
      </c>
    </row>
    <row r="36" spans="1:24" ht="10.25" customHeight="1" thickTop="1">
      <c r="A36" s="270" t="s">
        <v>41</v>
      </c>
      <c r="B36" s="565">
        <f>+TRIP_ACCOUNTS!U133</f>
        <v>19.5</v>
      </c>
      <c r="C36" s="270"/>
      <c r="D36" s="635" t="s">
        <v>208</v>
      </c>
      <c r="E36" s="276"/>
      <c r="F36" s="276"/>
      <c r="G36" s="276"/>
      <c r="H36" s="276"/>
      <c r="I36" s="665">
        <f>B43</f>
        <v>2537.1999999999998</v>
      </c>
      <c r="J36" s="558">
        <f>P35+P37+P39+P41+P43</f>
        <v>3926</v>
      </c>
      <c r="K36" s="557">
        <f t="shared" ref="K36:K43" si="0">J36-I36</f>
        <v>1388.8000000000002</v>
      </c>
      <c r="L36" s="580" t="str">
        <f t="shared" ref="L36:L41" si="1">IF(J36-I36=K36,"","see provisions")</f>
        <v/>
      </c>
      <c r="N36" s="747"/>
      <c r="O36" s="512" t="str">
        <f>CONCATENATE("Occasional moorings budget ",IF(TRIP_ACCOUNTS!U150/P37&gt;1.1,"TOO SMALL",IF(TRIP_ACCOUNTS!U150/P37&lt;0.5,"OVER ESTIMATED","ABOUT RIGHT")))</f>
        <v>Occasional moorings budget ABOUT RIGHT</v>
      </c>
      <c r="W36" s="582"/>
    </row>
    <row r="37" spans="1:24" ht="10.25" customHeight="1" thickBot="1">
      <c r="A37" s="527" t="s">
        <v>42</v>
      </c>
      <c r="B37" s="583">
        <f>SUM(B33:B36)</f>
        <v>563.6099999999999</v>
      </c>
      <c r="C37" s="270"/>
      <c r="D37" s="612" t="s">
        <v>189</v>
      </c>
      <c r="I37" s="666">
        <f>L75-D9</f>
        <v>2733.43</v>
      </c>
      <c r="J37" s="561">
        <v>400</v>
      </c>
      <c r="K37" s="559">
        <f>J37-(I37)</f>
        <v>-2333.4299999999998</v>
      </c>
      <c r="L37" s="694" t="str">
        <f t="shared" si="1"/>
        <v/>
      </c>
      <c r="N37" s="747" t="b">
        <f>P37&lt;TRIP_ACCOUNTS!U150</f>
        <v>0</v>
      </c>
      <c r="O37" s="746" t="str">
        <f>IF(N37,"!",CHAR(169))</f>
        <v>©</v>
      </c>
      <c r="P37" s="581">
        <v>700</v>
      </c>
      <c r="Q37" s="512" t="str">
        <f>CONCATENATE("budgeted versus £",TEXT(TRIP_ACCOUNTS!U150,"0.00")," spent")</f>
        <v>budgeted versus £653.15 spent</v>
      </c>
      <c r="V37" s="532" t="b">
        <f>ABS(P37-TRIP_ACCOUNTS!U150)/(P37+0.0000001)&gt;0.1</f>
        <v>0</v>
      </c>
      <c r="X37" s="596"/>
    </row>
    <row r="38" spans="1:24" ht="10.25" customHeight="1" thickTop="1">
      <c r="A38" s="518" t="s">
        <v>43</v>
      </c>
      <c r="B38" s="584">
        <f>+TRIP_ACCOUNTS!U135</f>
        <v>251.32999999999998</v>
      </c>
      <c r="C38" s="270"/>
      <c r="D38" s="612" t="s">
        <v>158</v>
      </c>
      <c r="I38" s="666">
        <f>B41</f>
        <v>2087.5299999999997</v>
      </c>
      <c r="J38" s="561">
        <f>+D89</f>
        <v>3355</v>
      </c>
      <c r="K38" s="559">
        <f t="shared" si="0"/>
        <v>1267.4700000000003</v>
      </c>
      <c r="L38" s="562" t="str">
        <f t="shared" si="1"/>
        <v/>
      </c>
      <c r="N38" s="747"/>
      <c r="O38" s="512" t="str">
        <f>CONCATENATE("Licence budget ",IF(TRIP_ACCOUNTS!U149/P39&gt;1.05,"TOO SMALL",IF(TRIP_ACCOUNTS!U149/P39&lt;0.95,"OVER ESTIMATED","ABOUT RIGHT")))</f>
        <v>Licence budget OVER ESTIMATED</v>
      </c>
      <c r="T38" s="805" t="str">
        <f>CONCATENATE("Includes £",-TRIP_ACCOUNTS!O105," refund")</f>
        <v>Includes £1075.24 refund</v>
      </c>
      <c r="U38" s="598"/>
    </row>
    <row r="39" spans="1:24" ht="10.25" customHeight="1" thickBot="1">
      <c r="A39" s="527" t="s">
        <v>44</v>
      </c>
      <c r="B39" s="583">
        <f>B38</f>
        <v>251.32999999999998</v>
      </c>
      <c r="C39" s="270"/>
      <c r="D39" s="612" t="s">
        <v>159</v>
      </c>
      <c r="I39" s="667">
        <f>B44</f>
        <v>0</v>
      </c>
      <c r="J39" s="585">
        <v>0</v>
      </c>
      <c r="K39" s="559">
        <f t="shared" si="0"/>
        <v>0</v>
      </c>
      <c r="L39" s="562" t="str">
        <f t="shared" si="1"/>
        <v/>
      </c>
      <c r="N39" s="747" t="b">
        <f>P39&lt;TRIP_ACCOUNTS!U149</f>
        <v>0</v>
      </c>
      <c r="O39" s="746" t="str">
        <f>IF(N39,"!",CHAR(169))</f>
        <v>©</v>
      </c>
      <c r="P39" s="581">
        <v>1555</v>
      </c>
      <c r="Q39" s="512" t="str">
        <f>CONCATENATE("budgeted versus £",TEXT(TRIP_ACCOUNTS!U149,"0.00"), " spent")</f>
        <v>budgeted versus £398.40 spent</v>
      </c>
      <c r="T39" s="805"/>
      <c r="V39" s="532" t="b">
        <f>ABS(P39-TRIP_ACCOUNTS!U149)/(P39+0.0000001)&gt;0.1</f>
        <v>1</v>
      </c>
    </row>
    <row r="40" spans="1:24" ht="10.25" customHeight="1" thickTop="1" thickBot="1">
      <c r="A40" s="518" t="s">
        <v>45</v>
      </c>
      <c r="B40" s="519"/>
      <c r="C40" s="270"/>
      <c r="D40" s="270" t="s">
        <v>46</v>
      </c>
      <c r="I40" s="666"/>
      <c r="J40" s="561">
        <v>0</v>
      </c>
      <c r="K40" s="559">
        <f t="shared" si="0"/>
        <v>0</v>
      </c>
      <c r="L40" s="562" t="str">
        <f t="shared" si="1"/>
        <v/>
      </c>
      <c r="N40" s="747"/>
      <c r="O40" s="512" t="str">
        <f>CONCATENATE("Insurance budget ",IF(TRIP_ACCOUNTS!U146/P41&gt;1.05,"TOO SMALL",IF(TRIP_ACCOUNTS!U146/P41&lt;0.95,"OVER ESTIMATED","ABOUT RIGHT")))</f>
        <v>Insurance budget TOO SMALL</v>
      </c>
    </row>
    <row r="41" spans="1:24" ht="10.25" customHeight="1" thickTop="1">
      <c r="A41" s="535" t="s">
        <v>47</v>
      </c>
      <c r="B41" s="668">
        <f>+TRIP_ACCOUNTS!U137</f>
        <v>2087.5299999999997</v>
      </c>
      <c r="C41" s="270"/>
      <c r="D41" s="612" t="s">
        <v>183</v>
      </c>
      <c r="I41" s="666">
        <f>B46</f>
        <v>96</v>
      </c>
      <c r="J41" s="561"/>
      <c r="K41" s="559">
        <f t="shared" si="0"/>
        <v>-96</v>
      </c>
      <c r="L41" s="586" t="str">
        <f t="shared" si="1"/>
        <v/>
      </c>
      <c r="N41" s="747" t="b">
        <f>P41&lt;TRIP_ACCOUNTS!U146</f>
        <v>1</v>
      </c>
      <c r="O41" s="746" t="str">
        <f>IF(N41,"!",CHAR(169))</f>
        <v>!</v>
      </c>
      <c r="P41" s="581">
        <v>400</v>
      </c>
      <c r="Q41" s="512" t="str">
        <f>CONCATENATE("budgeted versus £",TEXT(TRIP_ACCOUNTS!U146,"0.00"), " spent")</f>
        <v>budgeted versus £451.61 spent</v>
      </c>
      <c r="V41" s="532" t="b">
        <f>ABS(P41-TRIP_ACCOUNTS!U146)/(P41+0.0000001)&gt;0.1</f>
        <v>1</v>
      </c>
    </row>
    <row r="42" spans="1:24" ht="10.25" customHeight="1">
      <c r="A42" s="612" t="s">
        <v>157</v>
      </c>
      <c r="B42" s="669">
        <f>+'OTHER COSTS'!BS38</f>
        <v>2733.4300000000003</v>
      </c>
      <c r="C42" s="270"/>
      <c r="D42" s="612" t="str">
        <f>CONCATENATE("Provisioned into ",$B$1+1)</f>
        <v>Provisioned into 2025</v>
      </c>
      <c r="I42" s="561">
        <f ca="1">-($T$16+$T$15)</f>
        <v>1950</v>
      </c>
      <c r="J42" s="428"/>
      <c r="K42" s="559">
        <f t="shared" ca="1" si="0"/>
        <v>-1950</v>
      </c>
      <c r="L42" s="562" t="str">
        <f ca="1">IF(J42-I42=K42,"","provisions")</f>
        <v/>
      </c>
      <c r="N42" s="747"/>
      <c r="O42" s="512" t="str">
        <f>CONCATENATE("RCR budget ",IF(TRIP_ACCOUNTS!U149/P43&gt;1.05,"TOO SMALL",IF(TRIP_ACCOUNTS!U149/P43&lt;0.95,"OVER ESTIMATED","ABOUT RIGHT")))</f>
        <v>RCR budget TOO SMALL</v>
      </c>
    </row>
    <row r="43" spans="1:24" ht="10.25" customHeight="1">
      <c r="A43" s="270" t="s">
        <v>49</v>
      </c>
      <c r="B43" s="669">
        <f>+TRIP_ACCOUNTS!U140</f>
        <v>2537.1999999999998</v>
      </c>
      <c r="D43" s="530"/>
      <c r="H43" s="575"/>
      <c r="I43" s="561"/>
      <c r="J43" s="561"/>
      <c r="K43" s="559">
        <f t="shared" si="0"/>
        <v>0</v>
      </c>
      <c r="L43" s="562"/>
      <c r="N43" s="747" t="b">
        <f>P43&lt;TRIP_ACCOUNTS!U147</f>
        <v>0</v>
      </c>
      <c r="O43" s="746" t="str">
        <f>IF(N43,"!",CHAR(169))</f>
        <v>©</v>
      </c>
      <c r="P43" s="581">
        <v>250</v>
      </c>
      <c r="Q43" s="512" t="str">
        <f>CONCATENATE("budgeted versus £",TEXT(TRIP_ACCOUNTS!U147,"0.00"), " spent")</f>
        <v>budgeted versus £60.00 spent</v>
      </c>
      <c r="V43" s="532" t="b">
        <f>ABS(P43-TRIP_ACCOUNTS!U149)/(P43+0.0000001)&gt;0.1</f>
        <v>1</v>
      </c>
    </row>
    <row r="44" spans="1:24" ht="10.25" customHeight="1" thickBot="1">
      <c r="A44" s="270" t="s">
        <v>114</v>
      </c>
      <c r="B44" s="669">
        <f>'OTHER COSTS'!BS45</f>
        <v>0</v>
      </c>
      <c r="D44" s="566" t="str">
        <f>CONCATENATE("ANNUAL EXPENDITURE (EX RUNNING COSTS) FOR ",$B$1)</f>
        <v>ANNUAL EXPENDITURE (EX RUNNING COSTS) FOR 2024</v>
      </c>
      <c r="E44" s="567"/>
      <c r="F44" s="567"/>
      <c r="G44" s="567"/>
      <c r="H44" s="567"/>
      <c r="I44" s="568">
        <f ca="1">SUM(I36:I43)</f>
        <v>9404.16</v>
      </c>
      <c r="J44" s="568">
        <f>SUM(J36:J43)</f>
        <v>7681</v>
      </c>
      <c r="K44" s="569">
        <f ca="1">SUM(K36:K43)</f>
        <v>-1723.1599999999994</v>
      </c>
      <c r="L44" s="570"/>
      <c r="N44" s="747"/>
      <c r="O44" s="512" t="str">
        <f>CONCATENATE("Emergencies &amp; unplanned budgets ",IF(I37/J37&gt;1.1,"TOO SMALL",IF(I37/J37&lt;0.5,"OVER ESTIMATED","ABOUT RIGHT")))</f>
        <v>Emergencies &amp; unplanned budgets TOO SMALL</v>
      </c>
      <c r="T44" s="805" t="str">
        <f ca="1">CONCATENATE("Includes estimated £",SUM(T86:T90)," provision for Danny jobs")</f>
        <v>Includes estimated £2850 provision for Danny jobs</v>
      </c>
    </row>
    <row r="45" spans="1:24" ht="10.25" customHeight="1" thickTop="1">
      <c r="A45" s="270" t="s">
        <v>50</v>
      </c>
      <c r="B45" s="670">
        <v>0</v>
      </c>
      <c r="D45" s="734" t="str">
        <f>CONCATENATE("    Net provisions paid to year ",$B$1-1)</f>
        <v xml:space="preserve">    Net provisions paid to year 2023</v>
      </c>
      <c r="E45" s="536"/>
      <c r="F45" s="536"/>
      <c r="G45" s="742"/>
      <c r="H45" s="536"/>
      <c r="I45" s="572">
        <f>J45</f>
        <v>0</v>
      </c>
      <c r="J45" s="572">
        <f>'PROVISIONS &amp; SUBS'!H45</f>
        <v>0</v>
      </c>
      <c r="K45" s="573"/>
      <c r="L45" s="537"/>
      <c r="N45" s="747" t="b">
        <f>J37&lt;I37</f>
        <v>1</v>
      </c>
      <c r="O45" s="746" t="str">
        <f>IF(N45,"!",CHAR(169))</f>
        <v>!</v>
      </c>
      <c r="P45" s="581" t="str">
        <f>CONCATENATE("£",TEXT(ABS(J37),"0.00")," budgeted, £",TEXT(ABS(K37),"0.00"),IF(K37&gt;0, " unused"," overspent"))</f>
        <v>£400.00 budgeted, £2333.43 overspent</v>
      </c>
      <c r="R45" s="587"/>
      <c r="T45" s="805"/>
      <c r="V45" s="532" t="b">
        <f>ABS(J37-I37)/(J37+0.0000001)&gt;0.1</f>
        <v>1</v>
      </c>
    </row>
    <row r="46" spans="1:24" ht="10.25" customHeight="1">
      <c r="A46" s="612" t="str">
        <f>'OTHER COSTS'!A47</f>
        <v>SPECIAL PROJECTS</v>
      </c>
      <c r="B46" s="669">
        <f>+TRIP_ACCOUNTS!U139</f>
        <v>96</v>
      </c>
      <c r="C46" s="270"/>
      <c r="D46" s="270" t="str">
        <f>CONCATENATE("CARRIED FORWARD INTO ",$B$1+1," - End of ",$B$1," floating fund")</f>
        <v>CARRIED FORWARD INTO 2025 - End of 2024 floating fund</v>
      </c>
      <c r="I46" s="561">
        <f ca="1">D11</f>
        <v>2002.7299999999987</v>
      </c>
      <c r="J46" s="561">
        <f>J29-J44</f>
        <v>954.46999999999753</v>
      </c>
      <c r="K46" s="559">
        <f ca="1">I46-J46</f>
        <v>1048.2600000000011</v>
      </c>
      <c r="L46" s="534"/>
      <c r="N46" s="747"/>
      <c r="O46" s="512" t="str">
        <f ca="1">CONCATENATE("Scheduled maintenance budgets ",IF(-(K38+K42)&gt;200,"TOO SMALL",IF(K38+K42&gt;200,"OVER ESTIMATED","ABOUT RIGHT")))</f>
        <v>Scheduled maintenance budgets TOO SMALL</v>
      </c>
    </row>
    <row r="47" spans="1:24" ht="10.25" customHeight="1" thickBot="1">
      <c r="A47" s="538" t="str">
        <f>CONCATENATE($B$1+1," EXPENDITURE PAID EARLY")</f>
        <v>2025 EXPENDITURE PAID EARLY</v>
      </c>
      <c r="B47" s="676">
        <f>'PROVISIONS &amp; SUBS'!G79</f>
        <v>0</v>
      </c>
      <c r="C47" s="270"/>
      <c r="D47" s="271" t="s">
        <v>54</v>
      </c>
      <c r="E47" s="272"/>
      <c r="F47" s="272"/>
      <c r="G47" s="272"/>
      <c r="H47" s="272"/>
      <c r="I47" s="427">
        <f ca="1">SUM(I44:I46)</f>
        <v>11406.89</v>
      </c>
      <c r="J47" s="427">
        <f>SUM(J44:J46)</f>
        <v>8635.4699999999975</v>
      </c>
      <c r="K47" s="577">
        <f ca="1">J47-I47</f>
        <v>-2771.4200000000019</v>
      </c>
      <c r="L47" s="590"/>
      <c r="N47" s="747" t="b">
        <f>J38&lt;I38</f>
        <v>0</v>
      </c>
      <c r="O47" s="746" t="str">
        <f>IF(N47,"!",CHAR(169))</f>
        <v>©</v>
      </c>
      <c r="P47" s="512" t="str">
        <f>CONCATENATE("£",TEXT(ABS(J38),"0.00")," budgeted, ",TEXT(ABS(K38),"£0.00"),IF(K38&lt;0," overspent"," unused"))</f>
        <v>£3355.00 budgeted, £1267.47 unused</v>
      </c>
      <c r="T47" s="602" t="s">
        <v>152</v>
      </c>
      <c r="V47" s="532" t="b">
        <f>ABS(J38-I38)/J38&gt;0.1</f>
        <v>1</v>
      </c>
    </row>
    <row r="48" spans="1:24" ht="10.25" customHeight="1" thickTop="1" thickBot="1">
      <c r="A48" s="535" t="s">
        <v>51</v>
      </c>
      <c r="B48" s="588">
        <f>SUM(B39:B46)+B37</f>
        <v>8269.1</v>
      </c>
      <c r="C48" s="270"/>
      <c r="L48" s="662"/>
      <c r="N48" s="747"/>
      <c r="O48" s="512" t="str">
        <f>CONCATENATE("Special Projects budget ",IF(J41=0,"NO BUDGET",IF(I41/J41&gt;1.1,"TOO SMALL",IF(I41/J41&lt;0.5,"OVER ESTIMATED","ABOUT RIGHT"))))</f>
        <v>Special Projects budget NO BUDGET</v>
      </c>
    </row>
    <row r="49" spans="1:28" ht="10.25" customHeight="1" thickTop="1" thickBot="1">
      <c r="A49" s="540" t="s">
        <v>53</v>
      </c>
      <c r="B49" s="589">
        <f>SUM(B48:B48)</f>
        <v>8269.1</v>
      </c>
      <c r="N49" s="747" t="b">
        <f>J41&lt;I41</f>
        <v>1</v>
      </c>
      <c r="O49" s="746" t="str">
        <f>IF(N49,"!",CHAR(169))</f>
        <v>!</v>
      </c>
      <c r="P49" s="581" t="str">
        <f>CONCATENATE("£",TEXT(ABS(J41),"0.00")," budgeted, £",TEXT(ABS(K41),"0.00"),IF(K41&gt;0, " unused"," overspent"))</f>
        <v>£0.00 budgeted, £96.00 overspent</v>
      </c>
      <c r="R49" s="587"/>
      <c r="U49" s="269"/>
      <c r="V49" s="532" t="b">
        <f>ABS(J41-I41)/(J41+0.0000001)&gt;0.1</f>
        <v>1</v>
      </c>
    </row>
    <row r="50" spans="1:28" ht="8" thickTop="1" thickBot="1"/>
    <row r="51" spans="1:28" ht="30.5" customHeight="1" thickTop="1">
      <c r="A51" s="797" t="s">
        <v>47</v>
      </c>
      <c r="B51" s="798"/>
      <c r="C51" s="685" t="s">
        <v>22</v>
      </c>
      <c r="D51" s="686" t="s">
        <v>17</v>
      </c>
      <c r="E51" s="687" t="s">
        <v>84</v>
      </c>
      <c r="F51" s="688" t="s">
        <v>87</v>
      </c>
      <c r="H51" s="591" t="s">
        <v>55</v>
      </c>
      <c r="N51" s="517" t="s">
        <v>3</v>
      </c>
      <c r="O51" s="522"/>
    </row>
    <row r="52" spans="1:28" ht="10.5" thickBot="1">
      <c r="A52" s="695"/>
      <c r="B52" s="679"/>
      <c r="C52" s="689"/>
      <c r="D52" s="690"/>
      <c r="E52" s="691">
        <f>D52-C52</f>
        <v>0</v>
      </c>
      <c r="F52" s="692"/>
      <c r="G52" s="270"/>
      <c r="N52" s="544" t="s">
        <v>57</v>
      </c>
      <c r="P52" s="512"/>
      <c r="Q52" s="512"/>
      <c r="R52" s="512"/>
      <c r="S52" s="512" t="s">
        <v>58</v>
      </c>
      <c r="T52" s="593">
        <f>DSUM($E$51:$F$92,1,W52:W53)</f>
        <v>-370.59999999999997</v>
      </c>
      <c r="W52" s="532" t="s">
        <v>88</v>
      </c>
      <c r="X52" s="532" t="s">
        <v>88</v>
      </c>
      <c r="Y52" s="532" t="s">
        <v>88</v>
      </c>
      <c r="Z52" s="269" t="s">
        <v>88</v>
      </c>
      <c r="AA52" s="269" t="s">
        <v>88</v>
      </c>
    </row>
    <row r="53" spans="1:28" ht="11" thickTop="1" thickBot="1">
      <c r="A53" s="636" t="str">
        <f>MAINTENANCE!B5</f>
        <v>Working w/e food</v>
      </c>
      <c r="C53" s="594">
        <f>+MAINTENANCE!BT5</f>
        <v>60.04</v>
      </c>
      <c r="D53" s="426">
        <v>50</v>
      </c>
      <c r="E53" s="592">
        <f>IF(ISTEXT(D53),0,D53)-C53</f>
        <v>-10.039999999999999</v>
      </c>
      <c r="F53" s="663" t="s">
        <v>258</v>
      </c>
      <c r="G53" s="270" t="str">
        <f>IF(F53="X","*",IF(OR(F53="P",F53="N"),"",IF(ABS(E53/IF(OR(D53="NIL",D53=0),0.001,D53))&gt;$J$1,IF(OR(ABS(E53)&gt;20,C53=0),IF(E53&lt;0,"&gt;","&lt;"),""),"")))</f>
        <v/>
      </c>
      <c r="N53" s="544" t="s">
        <v>153</v>
      </c>
      <c r="P53" s="512"/>
      <c r="Q53" s="512"/>
      <c r="R53" s="512"/>
      <c r="S53" s="512" t="s">
        <v>265</v>
      </c>
      <c r="T53" s="593">
        <f>DSUM($E$51:$F$92,1,X52:X53)</f>
        <v>1550</v>
      </c>
      <c r="W53" s="532" t="s">
        <v>56</v>
      </c>
      <c r="X53" s="531" t="s">
        <v>98</v>
      </c>
      <c r="Y53" s="532" t="s">
        <v>59</v>
      </c>
      <c r="Z53" s="269" t="s">
        <v>62</v>
      </c>
      <c r="AA53" s="531" t="s">
        <v>154</v>
      </c>
    </row>
    <row r="54" spans="1:28" ht="11" thickTop="1">
      <c r="A54" s="636" t="str">
        <f>MAINTENANCE!B6</f>
        <v>Re-stock first aid kit as needed</v>
      </c>
      <c r="C54" s="594">
        <f>+MAINTENANCE!BT6</f>
        <v>7.07</v>
      </c>
      <c r="D54" s="426">
        <v>15</v>
      </c>
      <c r="E54" s="592">
        <f>IF(ISTEXT(D54),0,D54)-C54</f>
        <v>7.93</v>
      </c>
      <c r="F54" s="663" t="s">
        <v>56</v>
      </c>
      <c r="G54" s="270" t="str">
        <f>IF(F54="X","*",IF(OR(F54="P",F54="N"),"",IF(ABS(E54/IF(OR(D54="NIL",D54=0),0.001,D54))&gt;$J$1,IF(OR(ABS(E54)&gt;20,C54=0),IF(E54&lt;0,"&gt;","&lt;"),""),"")))</f>
        <v/>
      </c>
      <c r="H54" s="410" t="s">
        <v>60</v>
      </c>
      <c r="L54" s="545" t="str">
        <f>C51</f>
        <v>TOTAL</v>
      </c>
      <c r="N54" s="544" t="s">
        <v>115</v>
      </c>
      <c r="P54" s="512"/>
      <c r="Q54" s="512"/>
      <c r="R54" s="512"/>
      <c r="S54" s="512" t="s">
        <v>61</v>
      </c>
      <c r="T54" s="593">
        <f>DSUM($E$51:$F$92,1,Y52:Y53)</f>
        <v>10</v>
      </c>
    </row>
    <row r="55" spans="1:28" ht="10.5" thickBot="1">
      <c r="A55" s="636" t="str">
        <f>MAINTENANCE!B7</f>
        <v>Clean boat for start of season</v>
      </c>
      <c r="C55" s="594">
        <f>+MAINTENANCE!BT7</f>
        <v>0</v>
      </c>
      <c r="D55" s="426">
        <v>20</v>
      </c>
      <c r="E55" s="592">
        <f t="shared" ref="E55:E65" si="2">IF(ISTEXT(D55),0,D55)-C55</f>
        <v>20</v>
      </c>
      <c r="F55" s="663" t="s">
        <v>56</v>
      </c>
      <c r="G55" s="270" t="str">
        <f t="shared" ref="G55:G82" si="3">IF(F55="X","*",IF(OR(F55="P",F55="N"),"",IF(ABS(E55/IF(OR(D55="NIL",D55=0),0.001,D55))&gt;$J$1,IF(OR(ABS(E55)&gt;20,C55=0),IF(E55&lt;0,"&gt;","&lt;"),""),"")))</f>
        <v>&lt;</v>
      </c>
      <c r="J55" s="549"/>
      <c r="L55" s="595"/>
      <c r="N55" s="544" t="s">
        <v>175</v>
      </c>
      <c r="P55" s="512"/>
      <c r="Q55" s="512"/>
      <c r="R55" s="512"/>
      <c r="S55" s="512" t="s">
        <v>63</v>
      </c>
      <c r="T55" s="593">
        <f>DSUM($E$51:$F$92,1,Z52:Z53)</f>
        <v>78.069999999999993</v>
      </c>
      <c r="W55" s="596"/>
    </row>
    <row r="56" spans="1:28" ht="11" thickTop="1" thickBot="1">
      <c r="A56" s="636" t="str">
        <f>MAINTENANCE!B8</f>
        <v>De-winterise</v>
      </c>
      <c r="C56" s="594">
        <f>+MAINTENANCE!BT8</f>
        <v>0</v>
      </c>
      <c r="D56" s="426">
        <v>20</v>
      </c>
      <c r="E56" s="592">
        <f t="shared" si="2"/>
        <v>20</v>
      </c>
      <c r="F56" s="663" t="s">
        <v>56</v>
      </c>
      <c r="G56" s="270" t="str">
        <f t="shared" si="3"/>
        <v>&lt;</v>
      </c>
      <c r="H56" s="770" t="str">
        <f>+'OTHER COSTS'!A6</f>
        <v>CYLINDER HEAD GASKET REPLACEMENT</v>
      </c>
      <c r="I56" s="727"/>
      <c r="J56" s="276"/>
      <c r="K56" s="276"/>
      <c r="L56" s="725">
        <f>+'OTHER COSTS'!BS6</f>
        <v>0</v>
      </c>
      <c r="T56" s="639">
        <f>SUM(T52:T55)</f>
        <v>1267.47</v>
      </c>
      <c r="W56" s="596"/>
    </row>
    <row r="57" spans="1:28" ht="10.5" thickTop="1">
      <c r="A57" s="636" t="str">
        <f>MAINTENANCE!B9</f>
        <v>Touch up paint on gunnels (PB to supply paint)</v>
      </c>
      <c r="C57" s="594">
        <f>+MAINTENANCE!BT9</f>
        <v>0</v>
      </c>
      <c r="D57" s="426">
        <v>30</v>
      </c>
      <c r="E57" s="592">
        <f t="shared" si="2"/>
        <v>30</v>
      </c>
      <c r="F57" s="663" t="s">
        <v>62</v>
      </c>
      <c r="G57" s="270" t="str">
        <f t="shared" si="3"/>
        <v/>
      </c>
      <c r="H57" s="728" t="str">
        <f>+'OTHER COSTS'!A7</f>
        <v>New Gaskets</v>
      </c>
      <c r="L57" s="726">
        <f>+'OTHER COSTS'!BS7</f>
        <v>104.49</v>
      </c>
      <c r="N57" s="544"/>
      <c r="P57" s="512"/>
      <c r="Q57" s="512"/>
      <c r="R57" s="512"/>
      <c r="S57" s="544"/>
      <c r="T57" s="593">
        <f>'PROVISIONS &amp; SUBS'!I59</f>
        <v>0</v>
      </c>
      <c r="X57" s="598"/>
      <c r="Y57" s="598"/>
    </row>
    <row r="58" spans="1:28">
      <c r="A58" s="636" t="str">
        <f>MAINTENANCE!B10</f>
        <v>Clean the roof</v>
      </c>
      <c r="C58" s="594">
        <f>+MAINTENANCE!BT10</f>
        <v>0</v>
      </c>
      <c r="D58" s="426">
        <v>30</v>
      </c>
      <c r="E58" s="592">
        <f t="shared" si="2"/>
        <v>30</v>
      </c>
      <c r="F58" s="663" t="s">
        <v>56</v>
      </c>
      <c r="G58" s="270" t="str">
        <f t="shared" si="3"/>
        <v>&lt;</v>
      </c>
      <c r="H58" s="728" t="str">
        <f>+'OTHER COSTS'!A8</f>
        <v>Replacemenr valve cap</v>
      </c>
      <c r="L58" s="726">
        <f>+'OTHER COSTS'!BS8</f>
        <v>6.4</v>
      </c>
      <c r="Z58" s="532"/>
      <c r="AA58" s="532"/>
    </row>
    <row r="59" spans="1:28" ht="10">
      <c r="A59" s="636" t="str">
        <f>MAINTENANCE!B11</f>
        <v>Permanent cover for boiler chimney</v>
      </c>
      <c r="C59" s="594">
        <f>+MAINTENANCE!BT11</f>
        <v>0</v>
      </c>
      <c r="D59" s="426">
        <v>50</v>
      </c>
      <c r="E59" s="592">
        <f t="shared" si="2"/>
        <v>50</v>
      </c>
      <c r="F59" s="663" t="s">
        <v>98</v>
      </c>
      <c r="G59" s="270" t="str">
        <f t="shared" si="3"/>
        <v/>
      </c>
      <c r="H59" s="728">
        <f>+'OTHER COSTS'!A9</f>
        <v>0</v>
      </c>
      <c r="L59" s="726">
        <f>+'OTHER COSTS'!BS9</f>
        <v>0</v>
      </c>
      <c r="N59" s="274" t="s">
        <v>176</v>
      </c>
      <c r="S59" s="601" t="s">
        <v>116</v>
      </c>
      <c r="T59" s="640" t="str">
        <f ca="1">CONCATENATE("Residue= ",TEXT(SUM(S60:S61),"£0.00"))</f>
        <v>Residue= £10.00</v>
      </c>
      <c r="U59" s="269"/>
      <c r="V59" s="600">
        <f>58+85+761.44-21.37+125</f>
        <v>1008.07</v>
      </c>
      <c r="W59" s="600"/>
      <c r="Z59" s="532"/>
      <c r="AA59" s="532"/>
    </row>
    <row r="60" spans="1:28">
      <c r="A60" s="636" t="str">
        <f>MAINTENANCE!B12</f>
        <v xml:space="preserve">Install wire retainer on shelf to stop cornflake box avalanche. </v>
      </c>
      <c r="C60" s="594">
        <f>+MAINTENANCE!BT12</f>
        <v>2</v>
      </c>
      <c r="D60" s="426">
        <v>10</v>
      </c>
      <c r="E60" s="592">
        <f t="shared" si="2"/>
        <v>8</v>
      </c>
      <c r="F60" s="663" t="s">
        <v>56</v>
      </c>
      <c r="G60" s="270" t="str">
        <f t="shared" si="3"/>
        <v/>
      </c>
      <c r="H60" s="771" t="str">
        <f>+'OTHER COSTS'!A10</f>
        <v>RCR CALLOUT AND REPAIR</v>
      </c>
      <c r="L60" s="726">
        <f>+'OTHER COSTS'!BS10</f>
        <v>0</v>
      </c>
      <c r="N60" s="269" t="str">
        <f ca="1">IF(V60&gt;0,INDIRECT(W60),"")</f>
        <v>Clean the bilge (engine chamber almost full)</v>
      </c>
      <c r="S60" s="269">
        <f ca="1">IF(V60&gt;0,INDIRECT(X60),"")</f>
        <v>10</v>
      </c>
      <c r="T60" s="611"/>
      <c r="V60" s="600">
        <v>72</v>
      </c>
      <c r="W60" s="532" t="str">
        <f>CONCATENATE("A",V60)</f>
        <v>A72</v>
      </c>
      <c r="X60" s="532" t="str">
        <f>CONCATENATE("D",V60)</f>
        <v>D72</v>
      </c>
      <c r="Y60" s="532" t="str">
        <f>CONCATENATE("E",V60)</f>
        <v>E72</v>
      </c>
    </row>
    <row r="61" spans="1:28">
      <c r="A61" s="636" t="str">
        <f>MAINTENANCE!B13</f>
        <v>Reposition lugs on rear steps</v>
      </c>
      <c r="C61" s="594">
        <f>+MAINTENANCE!BT13</f>
        <v>0</v>
      </c>
      <c r="D61" s="426">
        <v>50</v>
      </c>
      <c r="E61" s="592">
        <f t="shared" si="2"/>
        <v>50</v>
      </c>
      <c r="F61" s="663" t="s">
        <v>98</v>
      </c>
      <c r="G61" s="270" t="str">
        <f t="shared" si="3"/>
        <v/>
      </c>
      <c r="H61" s="728" t="str">
        <f>+'OTHER COSTS'!A11</f>
        <v>RCR callout rescue fee 26/07/24</v>
      </c>
      <c r="L61" s="726">
        <f>+'OTHER COSTS'!BS11</f>
        <v>65</v>
      </c>
      <c r="N61" s="269" t="str">
        <f ca="1">IF(V61&gt;0,INDIRECT(W61),"")</f>
        <v/>
      </c>
      <c r="S61" s="269" t="str">
        <f ca="1">IF(V61&gt;0,INDIRECT(X61),"")</f>
        <v/>
      </c>
      <c r="T61" s="611"/>
      <c r="V61" s="600"/>
      <c r="W61" s="532" t="str">
        <f>CONCATENATE("A",V61)</f>
        <v>A</v>
      </c>
      <c r="X61" s="532" t="str">
        <f>CONCATENATE("D",V61)</f>
        <v>D</v>
      </c>
      <c r="Y61" s="532" t="str">
        <f>CONCATENATE("E",V61)</f>
        <v>E</v>
      </c>
    </row>
    <row r="62" spans="1:28" ht="10">
      <c r="A62" s="636" t="str">
        <f>MAINTENANCE!B14</f>
        <v>Central wardrobe door Replace catch &amp; make door fit</v>
      </c>
      <c r="C62" s="594">
        <f>+MAINTENANCE!BT14</f>
        <v>0</v>
      </c>
      <c r="D62" s="426">
        <v>5</v>
      </c>
      <c r="E62" s="592">
        <f t="shared" si="2"/>
        <v>5</v>
      </c>
      <c r="F62" s="663" t="s">
        <v>62</v>
      </c>
      <c r="G62" s="270" t="str">
        <f t="shared" si="3"/>
        <v/>
      </c>
      <c r="H62" s="728" t="str">
        <f>+'OTHER COSTS'!A12</f>
        <v>Refurbisment of 4-diesel injectors for RCR repair</v>
      </c>
      <c r="L62" s="726">
        <f>+'OTHER COSTS'!BS12</f>
        <v>595.20000000000005</v>
      </c>
      <c r="N62" s="274" t="s">
        <v>174</v>
      </c>
      <c r="S62" s="269" t="str">
        <f t="shared" ref="S62:S68" ca="1" si="4">IF(V62&gt;0,INDIRECT(X62),"")</f>
        <v/>
      </c>
      <c r="T62" s="640" t="str">
        <f ca="1">CONCATENATE("Residue= ",TEXT(SUM(S63:S68),"£0.00"))</f>
        <v>Residue= £105.00</v>
      </c>
      <c r="V62" s="600"/>
    </row>
    <row r="63" spans="1:28">
      <c r="A63" s="636" t="str">
        <f>MAINTENANCE!B15</f>
        <v>Woodwork in Boiler cabinet to support/protect fan heater</v>
      </c>
      <c r="C63" s="594">
        <f>+MAINTENANCE!BT15</f>
        <v>0</v>
      </c>
      <c r="D63" s="426">
        <v>25</v>
      </c>
      <c r="E63" s="592">
        <f t="shared" si="2"/>
        <v>25</v>
      </c>
      <c r="F63" s="663" t="s">
        <v>56</v>
      </c>
      <c r="G63" s="270" t="str">
        <f t="shared" si="3"/>
        <v>&lt;</v>
      </c>
      <c r="H63" s="728" t="str">
        <f>+'OTHER COSTS'!A13</f>
        <v>River Canal Rescue engine repair</v>
      </c>
      <c r="L63" s="726">
        <f>+'OTHER COSTS'!BS13</f>
        <v>1666.4</v>
      </c>
      <c r="N63" s="269" t="str">
        <f t="shared" ref="N63:N68" ca="1" si="5">IF(V63&gt;0,INDIRECT(W63),"")</f>
        <v>Touch up paint on gunnels (PB to supply paint)</v>
      </c>
      <c r="S63" s="553">
        <f t="shared" ca="1" si="4"/>
        <v>30</v>
      </c>
      <c r="T63" s="611"/>
      <c r="V63" s="600">
        <v>57</v>
      </c>
      <c r="W63" s="532" t="str">
        <f t="shared" ref="W63:W68" si="6">CONCATENATE("A",V63)</f>
        <v>A57</v>
      </c>
      <c r="X63" s="532" t="str">
        <f t="shared" ref="X63:X68" si="7">CONCATENATE("D",V63)</f>
        <v>D57</v>
      </c>
      <c r="Y63" s="532" t="str">
        <f t="shared" ref="Y63:Y68" si="8">CONCATENATE("E",V63)</f>
        <v>E57</v>
      </c>
      <c r="AB63" s="269">
        <f>V63-3</f>
        <v>54</v>
      </c>
    </row>
    <row r="64" spans="1:28">
      <c r="A64" s="636" t="str">
        <f>MAINTENANCE!B16</f>
        <v xml:space="preserve">Lights replacement/upgrade </v>
      </c>
      <c r="C64" s="594">
        <f>+MAINTENANCE!BT16</f>
        <v>0</v>
      </c>
      <c r="D64" s="426">
        <v>30</v>
      </c>
      <c r="E64" s="592">
        <f t="shared" si="2"/>
        <v>30</v>
      </c>
      <c r="F64" s="663" t="s">
        <v>62</v>
      </c>
      <c r="G64" s="270" t="str">
        <f t="shared" si="3"/>
        <v/>
      </c>
      <c r="H64" s="728">
        <f>+'OTHER COSTS'!A14</f>
        <v>0</v>
      </c>
      <c r="L64" s="597">
        <f>+'OTHER COSTS'!BS14</f>
        <v>0</v>
      </c>
      <c r="N64" s="269" t="str">
        <f t="shared" ca="1" si="5"/>
        <v>Central wardrobe door Replace catch &amp; make door fit</v>
      </c>
      <c r="S64" s="553">
        <f t="shared" ca="1" si="4"/>
        <v>5</v>
      </c>
      <c r="T64" s="611"/>
      <c r="V64" s="600">
        <v>62</v>
      </c>
      <c r="W64" s="532" t="str">
        <f t="shared" si="6"/>
        <v>A62</v>
      </c>
      <c r="X64" s="532" t="str">
        <f t="shared" si="7"/>
        <v>D62</v>
      </c>
      <c r="Y64" s="532" t="str">
        <f t="shared" si="8"/>
        <v>E62</v>
      </c>
      <c r="AB64" s="269">
        <f t="shared" ref="AB64:AB68" si="9">V64-3</f>
        <v>59</v>
      </c>
    </row>
    <row r="65" spans="1:28">
      <c r="A65" s="636" t="str">
        <f>MAINTENANCE!B17</f>
        <v>Swanley: Haul out (and return)</v>
      </c>
      <c r="C65" s="594">
        <f>+MAINTENANCE!BT17</f>
        <v>446</v>
      </c>
      <c r="D65" s="426">
        <v>400</v>
      </c>
      <c r="E65" s="592">
        <f t="shared" si="2"/>
        <v>-46</v>
      </c>
      <c r="F65" s="663" t="s">
        <v>56</v>
      </c>
      <c r="G65" s="270" t="str">
        <f t="shared" si="3"/>
        <v/>
      </c>
      <c r="H65" s="771" t="str">
        <f>+'OTHER COSTS'!A15</f>
        <v>OTHER</v>
      </c>
      <c r="L65" s="597">
        <f>+'OTHER COSTS'!BS15</f>
        <v>0</v>
      </c>
      <c r="N65" s="269" t="str">
        <f t="shared" ca="1" si="5"/>
        <v xml:space="preserve">Lights replacement/upgrade </v>
      </c>
      <c r="S65" s="553">
        <f t="shared" ca="1" si="4"/>
        <v>30</v>
      </c>
      <c r="T65" s="611"/>
      <c r="V65" s="600">
        <v>64</v>
      </c>
      <c r="W65" s="532" t="str">
        <f t="shared" si="6"/>
        <v>A64</v>
      </c>
      <c r="X65" s="532" t="str">
        <f t="shared" si="7"/>
        <v>D64</v>
      </c>
      <c r="Y65" s="532" t="str">
        <f t="shared" si="8"/>
        <v>E64</v>
      </c>
      <c r="AB65" s="269">
        <f t="shared" si="9"/>
        <v>61</v>
      </c>
    </row>
    <row r="66" spans="1:28">
      <c r="A66" s="636" t="str">
        <f>MAINTENANCE!B18</f>
        <v>Arrange hull survey before insurance renewal on 14/12/24.</v>
      </c>
      <c r="C66" s="594">
        <f>+MAINTENANCE!BT18</f>
        <v>588</v>
      </c>
      <c r="D66" s="425">
        <v>450</v>
      </c>
      <c r="E66" s="592">
        <f t="shared" ref="E66:E81" si="10">IF(ISTEXT(D66),0,D66)-C66</f>
        <v>-138</v>
      </c>
      <c r="F66" s="663" t="s">
        <v>56</v>
      </c>
      <c r="G66" s="270" t="str">
        <f t="shared" si="3"/>
        <v>&gt;</v>
      </c>
      <c r="H66" s="728" t="str">
        <f>+'OTHER COSTS'!A16</f>
        <v xml:space="preserve">Replacement pump for shower tray </v>
      </c>
      <c r="L66" s="597">
        <f>+'OTHER COSTS'!BS16</f>
        <v>16.989999999999998</v>
      </c>
      <c r="N66" s="269" t="str">
        <f t="shared" ca="1" si="5"/>
        <v>Treat wooden gang plank to allow outside storage.</v>
      </c>
      <c r="S66" s="553">
        <f t="shared" ca="1" si="4"/>
        <v>20</v>
      </c>
      <c r="T66" s="611"/>
      <c r="V66" s="600">
        <v>76</v>
      </c>
      <c r="W66" s="532" t="str">
        <f t="shared" si="6"/>
        <v>A76</v>
      </c>
      <c r="X66" s="532" t="str">
        <f t="shared" si="7"/>
        <v>D76</v>
      </c>
      <c r="Y66" s="532" t="str">
        <f t="shared" si="8"/>
        <v>E76</v>
      </c>
      <c r="AB66" s="269">
        <f t="shared" si="9"/>
        <v>73</v>
      </c>
    </row>
    <row r="67" spans="1:28">
      <c r="A67" s="636" t="str">
        <f>MAINTENANCE!B19</f>
        <v>Arrange re-blacking the hull (one coat epoxy)</v>
      </c>
      <c r="C67" s="594">
        <f>+MAINTENANCE!BT19</f>
        <v>0</v>
      </c>
      <c r="D67" s="426">
        <v>700</v>
      </c>
      <c r="E67" s="592">
        <f t="shared" si="10"/>
        <v>700</v>
      </c>
      <c r="F67" s="663" t="s">
        <v>98</v>
      </c>
      <c r="G67" s="270" t="str">
        <f t="shared" si="3"/>
        <v/>
      </c>
      <c r="H67" s="728" t="str">
        <f>+'OTHER COSTS'!A17</f>
        <v>Antifreeze</v>
      </c>
      <c r="L67" s="597">
        <f>+'OTHER COSTS'!BS17</f>
        <v>95.97</v>
      </c>
      <c r="N67" s="269" t="str">
        <f t="shared" ca="1" si="5"/>
        <v>Implement Phase III Option for engine to power Central Heating.</v>
      </c>
      <c r="S67" s="553">
        <f t="shared" ca="1" si="4"/>
        <v>20</v>
      </c>
      <c r="T67" s="611"/>
      <c r="V67" s="600">
        <v>81</v>
      </c>
      <c r="W67" s="532" t="str">
        <f t="shared" si="6"/>
        <v>A81</v>
      </c>
      <c r="X67" s="532" t="str">
        <f t="shared" si="7"/>
        <v>D81</v>
      </c>
      <c r="Y67" s="532" t="str">
        <f t="shared" si="8"/>
        <v>E81</v>
      </c>
      <c r="Z67" s="532"/>
      <c r="AA67" s="532"/>
      <c r="AB67" s="269">
        <f t="shared" si="9"/>
        <v>78</v>
      </c>
    </row>
    <row r="68" spans="1:28">
      <c r="A68" s="636" t="str">
        <f>MAINTENANCE!B20</f>
        <v>Arrange repair of gunnel under rear boards.</v>
      </c>
      <c r="C68" s="594">
        <f>+MAINTENANCE!BT20</f>
        <v>0</v>
      </c>
      <c r="D68" s="426">
        <v>700</v>
      </c>
      <c r="E68" s="592">
        <f t="shared" si="10"/>
        <v>700</v>
      </c>
      <c r="F68" s="663" t="s">
        <v>98</v>
      </c>
      <c r="G68" s="270" t="str">
        <f t="shared" si="3"/>
        <v/>
      </c>
      <c r="H68" s="728" t="str">
        <f>+'OTHER COSTS'!A18</f>
        <v>IONOS sub for OLYMPIC.ME.UK, 29/1/24 - 29/1/26</v>
      </c>
      <c r="L68" s="597">
        <f>+'OTHER COSTS'!BS18</f>
        <v>23.98</v>
      </c>
      <c r="N68" s="269" t="str">
        <f t="shared" ca="1" si="5"/>
        <v/>
      </c>
      <c r="S68" s="553" t="str">
        <f t="shared" ca="1" si="4"/>
        <v/>
      </c>
      <c r="T68" s="611"/>
      <c r="V68" s="600"/>
      <c r="W68" s="532" t="str">
        <f t="shared" si="6"/>
        <v>A</v>
      </c>
      <c r="X68" s="532" t="str">
        <f t="shared" si="7"/>
        <v>D</v>
      </c>
      <c r="Y68" s="532" t="str">
        <f t="shared" si="8"/>
        <v>E</v>
      </c>
      <c r="AB68" s="269">
        <f t="shared" si="9"/>
        <v>-3</v>
      </c>
    </row>
    <row r="69" spans="1:28" ht="10">
      <c r="A69" s="636" t="str">
        <f>MAINTENANCE!B21</f>
        <v>Arrange Improvent of the balance of the rudder</v>
      </c>
      <c r="C69" s="594">
        <f>+MAINTENANCE!BT21</f>
        <v>0</v>
      </c>
      <c r="D69" s="426">
        <v>50</v>
      </c>
      <c r="E69" s="592">
        <f t="shared" si="10"/>
        <v>50</v>
      </c>
      <c r="F69" s="663" t="s">
        <v>98</v>
      </c>
      <c r="G69" s="270" t="str">
        <f t="shared" si="3"/>
        <v/>
      </c>
      <c r="H69" s="270" t="str">
        <f>+'OTHER COSTS'!A19</f>
        <v>Float switch for shower pump out</v>
      </c>
      <c r="L69" s="597">
        <f>+'OTHER COSTS'!BS19</f>
        <v>15</v>
      </c>
      <c r="N69" s="274" t="s">
        <v>162</v>
      </c>
      <c r="T69" s="640" t="str">
        <f ca="1">CONCATENATE("Residue= ",TEXT(SUM(T70:T70),"£0.00"))</f>
        <v>Residue= £0.00</v>
      </c>
      <c r="V69" s="600"/>
    </row>
    <row r="70" spans="1:28">
      <c r="A70" s="636" t="str">
        <f>MAINTENANCE!B22</f>
        <v>Repair diesel heater.  Add to checklist</v>
      </c>
      <c r="C70" s="594">
        <f>+MAINTENANCE!BT22</f>
        <v>121.94</v>
      </c>
      <c r="D70" s="426">
        <v>20</v>
      </c>
      <c r="E70" s="592">
        <f t="shared" si="10"/>
        <v>-101.94</v>
      </c>
      <c r="F70" s="663" t="s">
        <v>56</v>
      </c>
      <c r="G70" s="270" t="str">
        <f t="shared" si="3"/>
        <v>&gt;</v>
      </c>
      <c r="H70" s="270">
        <f>+'OTHER COSTS'!A20</f>
        <v>0</v>
      </c>
      <c r="L70" s="597">
        <f>+'OTHER COSTS'!BS20</f>
        <v>0</v>
      </c>
      <c r="N70" s="269" t="str">
        <f ca="1">IF(V70&gt;0,INDIRECT(W70),"")</f>
        <v/>
      </c>
      <c r="S70" s="269" t="str">
        <f ca="1">IF(V70&gt;0,INDIRECT(X70),"")</f>
        <v/>
      </c>
      <c r="T70" s="608" t="str">
        <f ca="1">IF(V70&gt;0,INDIRECT(Y70),"")</f>
        <v/>
      </c>
      <c r="V70" s="600"/>
      <c r="W70" s="532" t="str">
        <f>CONCATENATE("A",V70)</f>
        <v>A</v>
      </c>
      <c r="X70" s="532" t="str">
        <f>CONCATENATE("D",V70)</f>
        <v>D</v>
      </c>
      <c r="Y70" s="532" t="str">
        <f>CONCATENATE("E",V70)</f>
        <v>E</v>
      </c>
    </row>
    <row r="71" spans="1:28" ht="10">
      <c r="A71" s="636" t="str">
        <f>MAINTENANCE!B23</f>
        <v>Replace rear loo.</v>
      </c>
      <c r="C71" s="594">
        <f>+MAINTENANCE!BT23</f>
        <v>612.03</v>
      </c>
      <c r="D71" s="426">
        <v>450</v>
      </c>
      <c r="E71" s="592">
        <f t="shared" si="10"/>
        <v>-162.02999999999997</v>
      </c>
      <c r="F71" s="663" t="s">
        <v>56</v>
      </c>
      <c r="G71" s="270" t="str">
        <f t="shared" si="3"/>
        <v>&gt;</v>
      </c>
      <c r="H71" s="738" t="str">
        <f>+'OTHER COSTS'!A21</f>
        <v>RESULTING FROM STERN GULLEY WORK</v>
      </c>
      <c r="L71" s="597">
        <f>+'OTHER COSTS'!BS21</f>
        <v>0</v>
      </c>
      <c r="N71" s="274" t="str">
        <f>CONCATENATE("Completed jobs significantly under budget (&lt;",$J$1*100,"%) ")</f>
        <v xml:space="preserve">Completed jobs significantly under budget (&lt;25%) </v>
      </c>
      <c r="T71" s="640" t="str">
        <f ca="1">CONCATENATE("Residue= ",TEXT(SUM(T72:T77),"£0.00"))</f>
        <v>Residue= £135.00</v>
      </c>
      <c r="U71" s="269"/>
      <c r="V71" s="600"/>
    </row>
    <row r="72" spans="1:28">
      <c r="A72" s="636" t="str">
        <f>MAINTENANCE!B24</f>
        <v>Clean the bilge (engine chamber almost full)</v>
      </c>
      <c r="C72" s="594">
        <f>+MAINTENANCE!BT24</f>
        <v>0</v>
      </c>
      <c r="D72" s="426">
        <v>10</v>
      </c>
      <c r="E72" s="592">
        <f t="shared" si="10"/>
        <v>10</v>
      </c>
      <c r="F72" s="663" t="s">
        <v>59</v>
      </c>
      <c r="G72" s="270" t="str">
        <f t="shared" si="3"/>
        <v>*</v>
      </c>
      <c r="H72" s="270" t="str">
        <f>+'OTHER COSTS'!A22</f>
        <v>Replacement back boards</v>
      </c>
      <c r="L72" s="597">
        <f>+'OTHER COSTS'!BS22</f>
        <v>144</v>
      </c>
      <c r="N72" s="269" t="str">
        <f t="shared" ref="N72:N77" ca="1" si="11">IF(V72&gt;0,INDIRECT(W72),"")</f>
        <v>Clean boat for start of season</v>
      </c>
      <c r="S72" s="269">
        <f t="shared" ref="S72:S77" ca="1" si="12">IF(V72&gt;0,INDIRECT(X72),"")</f>
        <v>20</v>
      </c>
      <c r="T72" s="608">
        <f t="shared" ref="T72:T77" ca="1" si="13">IF(V72&gt;0,INDIRECT(Y72),"")</f>
        <v>20</v>
      </c>
      <c r="V72" s="600">
        <v>55</v>
      </c>
      <c r="W72" s="532" t="str">
        <f t="shared" ref="W72:W77" si="14">CONCATENATE("A",V72)</f>
        <v>A55</v>
      </c>
      <c r="X72" s="532" t="str">
        <f t="shared" ref="X72:X77" si="15">CONCATENATE("D",V72)</f>
        <v>D55</v>
      </c>
      <c r="Y72" s="532" t="str">
        <f t="shared" ref="Y72:Y77" si="16">CONCATENATE("E",V72)</f>
        <v>E55</v>
      </c>
      <c r="AB72" s="269">
        <f t="shared" ref="AB72:AB77" si="17">V72-3</f>
        <v>52</v>
      </c>
    </row>
    <row r="73" spans="1:28">
      <c r="A73" s="636" t="str">
        <f>MAINTENANCE!B25</f>
        <v>Replace kitchen water pump and associated assembly?</v>
      </c>
      <c r="C73" s="594">
        <f>+MAINTENANCE!BT25</f>
        <v>176.72</v>
      </c>
      <c r="D73" s="426">
        <v>150</v>
      </c>
      <c r="E73" s="592">
        <f t="shared" si="10"/>
        <v>-26.72</v>
      </c>
      <c r="F73" s="663" t="s">
        <v>56</v>
      </c>
      <c r="G73" s="270" t="str">
        <f t="shared" si="3"/>
        <v/>
      </c>
      <c r="H73" s="270">
        <f>+'OTHER COSTS'!A23</f>
        <v>0</v>
      </c>
      <c r="L73" s="597">
        <f>+'OTHER COSTS'!BS23</f>
        <v>0</v>
      </c>
      <c r="N73" s="269" t="str">
        <f t="shared" ca="1" si="11"/>
        <v>De-winterise</v>
      </c>
      <c r="S73" s="269">
        <f t="shared" ca="1" si="12"/>
        <v>20</v>
      </c>
      <c r="T73" s="608">
        <f t="shared" ca="1" si="13"/>
        <v>20</v>
      </c>
      <c r="U73" s="269"/>
      <c r="V73" s="600">
        <v>56</v>
      </c>
      <c r="W73" s="532" t="str">
        <f t="shared" si="14"/>
        <v>A56</v>
      </c>
      <c r="X73" s="532" t="str">
        <f t="shared" si="15"/>
        <v>D56</v>
      </c>
      <c r="Y73" s="532" t="str">
        <f t="shared" si="16"/>
        <v>E56</v>
      </c>
      <c r="AB73" s="269">
        <f t="shared" si="17"/>
        <v>53</v>
      </c>
    </row>
    <row r="74" spans="1:28">
      <c r="A74" s="636" t="str">
        <f>MAINTENANCE!B26</f>
        <v>Ease front door.</v>
      </c>
      <c r="C74" s="594">
        <f>+MAINTENANCE!BT26</f>
        <v>0</v>
      </c>
      <c r="D74" s="426">
        <v>0</v>
      </c>
      <c r="E74" s="592">
        <f t="shared" si="10"/>
        <v>0</v>
      </c>
      <c r="F74" s="663" t="s">
        <v>56</v>
      </c>
      <c r="G74" s="270" t="str">
        <f t="shared" si="3"/>
        <v/>
      </c>
      <c r="H74" s="270">
        <f>+'OTHER COSTS'!A24</f>
        <v>0</v>
      </c>
      <c r="L74" s="597">
        <f>+'OTHER COSTS'!BS24</f>
        <v>0</v>
      </c>
      <c r="N74" s="269" t="str">
        <f t="shared" ca="1" si="11"/>
        <v>Clean the roof</v>
      </c>
      <c r="S74" s="269">
        <f t="shared" ca="1" si="12"/>
        <v>30</v>
      </c>
      <c r="T74" s="608">
        <f t="shared" ca="1" si="13"/>
        <v>30</v>
      </c>
      <c r="V74" s="600">
        <v>58</v>
      </c>
      <c r="W74" s="532" t="str">
        <f t="shared" si="14"/>
        <v>A58</v>
      </c>
      <c r="X74" s="532" t="str">
        <f t="shared" si="15"/>
        <v>D58</v>
      </c>
      <c r="Y74" s="532" t="str">
        <f t="shared" si="16"/>
        <v>E58</v>
      </c>
      <c r="AB74" s="269">
        <f t="shared" si="17"/>
        <v>55</v>
      </c>
    </row>
    <row r="75" spans="1:28" ht="7.5" thickBot="1">
      <c r="A75" s="636" t="str">
        <f>MAINTENANCE!B27</f>
        <v>Check alignment of front fender and adjust as necessary,</v>
      </c>
      <c r="C75" s="594">
        <f>+MAINTENANCE!BT27</f>
        <v>2.7</v>
      </c>
      <c r="D75" s="426">
        <v>0</v>
      </c>
      <c r="E75" s="592">
        <f t="shared" si="10"/>
        <v>-2.7</v>
      </c>
      <c r="F75" s="663" t="s">
        <v>56</v>
      </c>
      <c r="G75" s="270" t="str">
        <f t="shared" si="3"/>
        <v/>
      </c>
      <c r="H75" s="271" t="s">
        <v>22</v>
      </c>
      <c r="I75" s="272"/>
      <c r="J75" s="272"/>
      <c r="K75" s="272"/>
      <c r="L75" s="273">
        <f>SUM(L52:L72)</f>
        <v>2733.43</v>
      </c>
      <c r="N75" s="269" t="str">
        <f t="shared" ca="1" si="11"/>
        <v>Woodwork in Boiler cabinet to support/protect fan heater</v>
      </c>
      <c r="S75" s="269">
        <f t="shared" ca="1" si="12"/>
        <v>25</v>
      </c>
      <c r="T75" s="608">
        <f t="shared" ca="1" si="13"/>
        <v>25</v>
      </c>
      <c r="V75" s="600">
        <v>63</v>
      </c>
      <c r="W75" s="532" t="str">
        <f t="shared" si="14"/>
        <v>A63</v>
      </c>
      <c r="X75" s="532" t="str">
        <f t="shared" si="15"/>
        <v>D63</v>
      </c>
      <c r="Y75" s="532" t="str">
        <f t="shared" si="16"/>
        <v>E63</v>
      </c>
      <c r="AB75" s="269">
        <f t="shared" si="17"/>
        <v>60</v>
      </c>
    </row>
    <row r="76" spans="1:28" ht="8" thickTop="1" thickBot="1">
      <c r="A76" s="636" t="str">
        <f>MAINTENANCE!B28</f>
        <v>Treat wooden gang plank to allow outside storage.</v>
      </c>
      <c r="C76" s="594">
        <f>+MAINTENANCE!BT28</f>
        <v>0</v>
      </c>
      <c r="D76" s="426">
        <v>20</v>
      </c>
      <c r="E76" s="592">
        <f t="shared" si="10"/>
        <v>20</v>
      </c>
      <c r="F76" s="663" t="s">
        <v>62</v>
      </c>
      <c r="G76" s="270" t="str">
        <f t="shared" si="3"/>
        <v/>
      </c>
      <c r="N76" s="269" t="str">
        <f t="shared" ca="1" si="11"/>
        <v>Replace front rope</v>
      </c>
      <c r="Q76" s="531"/>
      <c r="S76" s="269">
        <f t="shared" ca="1" si="12"/>
        <v>40</v>
      </c>
      <c r="T76" s="608">
        <f t="shared" ca="1" si="13"/>
        <v>40</v>
      </c>
      <c r="V76" s="600">
        <v>83</v>
      </c>
      <c r="W76" s="532" t="str">
        <f t="shared" si="14"/>
        <v>A83</v>
      </c>
      <c r="X76" s="532" t="str">
        <f t="shared" si="15"/>
        <v>D83</v>
      </c>
      <c r="Y76" s="532" t="str">
        <f t="shared" si="16"/>
        <v>E83</v>
      </c>
      <c r="AB76" s="269">
        <f t="shared" si="17"/>
        <v>80</v>
      </c>
    </row>
    <row r="77" spans="1:28" ht="11" thickTop="1">
      <c r="A77" s="636" t="str">
        <f>MAINTENANCE!B29</f>
        <v>Improve front headlight</v>
      </c>
      <c r="C77" s="594">
        <f>+MAINTENANCE!BT29</f>
        <v>8.6</v>
      </c>
      <c r="D77" s="426">
        <v>0</v>
      </c>
      <c r="E77" s="592">
        <f t="shared" si="10"/>
        <v>-8.6</v>
      </c>
      <c r="F77" s="663" t="s">
        <v>56</v>
      </c>
      <c r="G77" s="270" t="str">
        <f t="shared" si="3"/>
        <v/>
      </c>
      <c r="H77" s="410" t="s">
        <v>151</v>
      </c>
      <c r="I77" s="410"/>
      <c r="J77" s="410"/>
      <c r="K77" s="413"/>
      <c r="L77" s="545" t="s">
        <v>22</v>
      </c>
      <c r="N77" s="269" t="str">
        <f t="shared" ca="1" si="11"/>
        <v/>
      </c>
      <c r="S77" s="269" t="str">
        <f t="shared" ca="1" si="12"/>
        <v/>
      </c>
      <c r="T77" s="608" t="str">
        <f t="shared" ca="1" si="13"/>
        <v/>
      </c>
      <c r="V77" s="600"/>
      <c r="W77" s="532" t="str">
        <f t="shared" si="14"/>
        <v>A</v>
      </c>
      <c r="X77" s="532" t="str">
        <f t="shared" si="15"/>
        <v>D</v>
      </c>
      <c r="Y77" s="532" t="str">
        <f t="shared" si="16"/>
        <v>E</v>
      </c>
      <c r="AB77" s="269">
        <f t="shared" si="17"/>
        <v>-3</v>
      </c>
    </row>
    <row r="78" spans="1:28" ht="11" thickBot="1">
      <c r="A78" s="636" t="str">
        <f>MAINTENANCE!B30</f>
        <v>Overflow CH exit pipes at front and rear not discharging outboard.</v>
      </c>
      <c r="C78" s="594">
        <f>+MAINTENANCE!BT30</f>
        <v>0</v>
      </c>
      <c r="D78" s="426">
        <v>0</v>
      </c>
      <c r="E78" s="592">
        <f t="shared" si="10"/>
        <v>0</v>
      </c>
      <c r="F78" s="663" t="s">
        <v>56</v>
      </c>
      <c r="G78" s="270" t="str">
        <f t="shared" si="3"/>
        <v/>
      </c>
      <c r="H78" s="414"/>
      <c r="I78" s="414"/>
      <c r="J78" s="414"/>
      <c r="K78" s="415"/>
      <c r="L78" s="605"/>
      <c r="N78" s="274" t="str">
        <f>CONCATENATE("Completed jobs significantly over budget (&gt;",$J$1*100,"%)")</f>
        <v>Completed jobs significantly over budget (&gt;25%)</v>
      </c>
      <c r="S78" s="553"/>
      <c r="T78" s="640" t="str">
        <f ca="1">CONCATENATE("Overspend= ",TEXT(SUM(T79:T80),"£0.00"))</f>
        <v>Overspend= -£184.00</v>
      </c>
      <c r="U78" s="608"/>
      <c r="V78" s="600"/>
    </row>
    <row r="79" spans="1:28" ht="7.5" thickTop="1">
      <c r="A79" s="636" t="str">
        <f>MAINTENANCE!B31</f>
        <v>Port Side Heating joint replacement (blew off at Christmas).</v>
      </c>
      <c r="C79" s="594">
        <f>+MAINTENANCE!BT31</f>
        <v>0</v>
      </c>
      <c r="D79" s="426">
        <v>0</v>
      </c>
      <c r="E79" s="592">
        <f t="shared" si="10"/>
        <v>0</v>
      </c>
      <c r="F79" s="663" t="s">
        <v>56</v>
      </c>
      <c r="G79" s="270" t="str">
        <f t="shared" si="3"/>
        <v/>
      </c>
      <c r="H79" s="275" t="str">
        <f>'OTHER COSTS'!A59</f>
        <v>Frying pan</v>
      </c>
      <c r="I79" s="276"/>
      <c r="J79" s="276"/>
      <c r="K79" s="276"/>
      <c r="L79" s="277">
        <f>+'OTHER COSTS'!BS59</f>
        <v>0</v>
      </c>
      <c r="N79" s="269" t="str">
        <f ca="1">IF(V79&gt;0,INDIRECT(W79),"")</f>
        <v>Swanley: Haul out (and return)</v>
      </c>
      <c r="S79" s="553">
        <f ca="1">IF(V79&gt;0,INDIRECT(X79),"")</f>
        <v>400</v>
      </c>
      <c r="T79" s="608">
        <f ca="1">IF(V79&gt;0,INDIRECT(Y79),"")</f>
        <v>-46</v>
      </c>
      <c r="U79" s="269"/>
      <c r="V79" s="600">
        <v>65</v>
      </c>
      <c r="W79" s="532" t="str">
        <f>CONCATENATE("A",V79)</f>
        <v>A65</v>
      </c>
      <c r="X79" s="532" t="str">
        <f>CONCATENATE("D",V79)</f>
        <v>D65</v>
      </c>
      <c r="Y79" s="532" t="str">
        <f>CONCATENATE("E",V79)</f>
        <v>E65</v>
      </c>
      <c r="AB79" s="269">
        <f>V79-3</f>
        <v>62</v>
      </c>
    </row>
    <row r="80" spans="1:28">
      <c r="A80" s="636" t="str">
        <f>MAINTENANCE!B32</f>
        <v>Investigate leaks from engine and CH header tanks later in season.</v>
      </c>
      <c r="C80" s="594">
        <f>+MAINTENANCE!BT32</f>
        <v>0</v>
      </c>
      <c r="D80" s="426">
        <v>0</v>
      </c>
      <c r="E80" s="592">
        <f t="shared" si="10"/>
        <v>0</v>
      </c>
      <c r="F80" s="663" t="s">
        <v>56</v>
      </c>
      <c r="G80" s="270" t="str">
        <f t="shared" si="3"/>
        <v/>
      </c>
      <c r="H80" s="270" t="str">
        <f>'OTHER COSTS'!A60</f>
        <v>Anti-vandal lock key</v>
      </c>
      <c r="L80" s="604">
        <f>+'OTHER COSTS'!BS60</f>
        <v>0</v>
      </c>
      <c r="N80" s="269" t="str">
        <f t="shared" ref="N80:N82" ca="1" si="18">IF(V80&gt;0,INDIRECT(W80),"")</f>
        <v>Arrange hull survey before insurance renewal on 14/12/24.</v>
      </c>
      <c r="S80" s="553">
        <f t="shared" ref="S80:S82" ca="1" si="19">IF(V80&gt;0,INDIRECT(X80),"")</f>
        <v>450</v>
      </c>
      <c r="T80" s="608">
        <f t="shared" ref="T80:T82" ca="1" si="20">IF(V80&gt;0,INDIRECT(Y80),"")</f>
        <v>-138</v>
      </c>
      <c r="U80" s="269"/>
      <c r="V80" s="600">
        <v>66</v>
      </c>
      <c r="W80" s="532" t="str">
        <f t="shared" ref="W80:W82" si="21">CONCATENATE("A",V80)</f>
        <v>A66</v>
      </c>
      <c r="X80" s="532" t="str">
        <f t="shared" ref="X80:X82" si="22">CONCATENATE("D",V80)</f>
        <v>D66</v>
      </c>
      <c r="Y80" s="532" t="str">
        <f t="shared" ref="Y80:Y82" si="23">CONCATENATE("E",V80)</f>
        <v>E66</v>
      </c>
      <c r="AB80" s="269">
        <f t="shared" ref="AB80:AB83" si="24">V80-3</f>
        <v>63</v>
      </c>
    </row>
    <row r="81" spans="1:28">
      <c r="A81" s="636" t="str">
        <f>MAINTENANCE!B33</f>
        <v>Implement Phase III Option for engine to power Central Heating.</v>
      </c>
      <c r="C81" s="594">
        <f>+MAINTENANCE!BT33</f>
        <v>26.93</v>
      </c>
      <c r="D81" s="426">
        <v>20</v>
      </c>
      <c r="E81" s="592">
        <f t="shared" si="10"/>
        <v>-6.93</v>
      </c>
      <c r="F81" s="663" t="s">
        <v>62</v>
      </c>
      <c r="G81" s="270" t="str">
        <f t="shared" si="3"/>
        <v/>
      </c>
      <c r="H81" s="270">
        <f>'OTHER COSTS'!A61</f>
        <v>0</v>
      </c>
      <c r="L81" s="604">
        <f>+'OTHER COSTS'!BS61</f>
        <v>0</v>
      </c>
      <c r="N81" s="269" t="str">
        <f t="shared" ca="1" si="18"/>
        <v>Repair diesel heater.  Add to checklist</v>
      </c>
      <c r="S81" s="553">
        <f t="shared" ca="1" si="19"/>
        <v>20</v>
      </c>
      <c r="T81" s="608">
        <f t="shared" ca="1" si="20"/>
        <v>-101.94</v>
      </c>
      <c r="U81" s="269"/>
      <c r="V81" s="600">
        <v>70</v>
      </c>
      <c r="W81" s="532" t="str">
        <f t="shared" si="21"/>
        <v>A70</v>
      </c>
      <c r="X81" s="532" t="str">
        <f t="shared" si="22"/>
        <v>D70</v>
      </c>
      <c r="Y81" s="532" t="str">
        <f t="shared" si="23"/>
        <v>E70</v>
      </c>
      <c r="AB81" s="269">
        <f t="shared" si="24"/>
        <v>67</v>
      </c>
    </row>
    <row r="82" spans="1:28">
      <c r="A82" s="636" t="str">
        <f>MAINTENANCE!B34</f>
        <v>Stiffness of gear change, a feature or a fault?</v>
      </c>
      <c r="C82" s="594">
        <f>+MAINTENANCE!BT34</f>
        <v>35.5</v>
      </c>
      <c r="D82" s="426">
        <v>10</v>
      </c>
      <c r="E82" s="592">
        <f t="shared" ref="E82:E88" si="25">IF(ISTEXT(D82),0,D82)-C82</f>
        <v>-25.5</v>
      </c>
      <c r="F82" s="663" t="s">
        <v>56</v>
      </c>
      <c r="G82" s="270" t="str">
        <f t="shared" si="3"/>
        <v>&gt;</v>
      </c>
      <c r="H82" s="270">
        <f>+'OTHER COSTS'!A62</f>
        <v>0</v>
      </c>
      <c r="L82" s="604">
        <f>+'OTHER COSTS'!BS62</f>
        <v>0</v>
      </c>
      <c r="N82" s="269" t="str">
        <f t="shared" ca="1" si="18"/>
        <v>Replace rear loo.</v>
      </c>
      <c r="S82" s="553">
        <f t="shared" ca="1" si="19"/>
        <v>450</v>
      </c>
      <c r="T82" s="608">
        <f t="shared" ca="1" si="20"/>
        <v>-162.02999999999997</v>
      </c>
      <c r="U82" s="269"/>
      <c r="V82" s="600">
        <v>71</v>
      </c>
      <c r="W82" s="532" t="str">
        <f t="shared" si="21"/>
        <v>A71</v>
      </c>
      <c r="X82" s="532" t="str">
        <f t="shared" si="22"/>
        <v>D71</v>
      </c>
      <c r="Y82" s="532" t="str">
        <f t="shared" si="23"/>
        <v>E71</v>
      </c>
      <c r="AB82" s="269">
        <f t="shared" si="24"/>
        <v>68</v>
      </c>
    </row>
    <row r="83" spans="1:28" ht="7.5" thickBot="1">
      <c r="A83" s="636" t="str">
        <f>MAINTENANCE!B35</f>
        <v>Replace front rope</v>
      </c>
      <c r="C83" s="594">
        <f>+MAINTENANCE!BT35</f>
        <v>0</v>
      </c>
      <c r="D83" s="426">
        <v>40</v>
      </c>
      <c r="E83" s="592">
        <f t="shared" si="25"/>
        <v>40</v>
      </c>
      <c r="F83" s="663" t="s">
        <v>56</v>
      </c>
      <c r="G83" s="270" t="str">
        <f t="shared" ref="G83:G88" si="26">IF(F83="X","*",IF(OR(F83="P",F83="N"),"",IF(ABS(E83/IF(OR(D83="NIL",D83=0),0.001,D83))&gt;$J$1,IF(OR(ABS(E83)&gt;20,C83=0),IF(E83&lt;0,"&gt;","&lt;"),""),"")))</f>
        <v>&lt;</v>
      </c>
      <c r="H83" s="271" t="s">
        <v>22</v>
      </c>
      <c r="I83" s="272"/>
      <c r="J83" s="272"/>
      <c r="K83" s="272"/>
      <c r="L83" s="273">
        <f>SUM(L79:L82)</f>
        <v>0</v>
      </c>
      <c r="N83" s="269" t="str">
        <f t="shared" ref="N83" ca="1" si="27">IF(V83&gt;0,INDIRECT(W83),"")</f>
        <v>Stiffness of gear change, a feature or a fault?</v>
      </c>
      <c r="S83" s="553">
        <f t="shared" ref="S83" ca="1" si="28">IF(V83&gt;0,INDIRECT(X83),"")</f>
        <v>10</v>
      </c>
      <c r="T83" s="608">
        <f t="shared" ref="T83" ca="1" si="29">IF(V83&gt;0,INDIRECT(Y83),"")</f>
        <v>-25.5</v>
      </c>
      <c r="U83" s="269"/>
      <c r="V83" s="600">
        <v>82</v>
      </c>
      <c r="W83" s="532" t="str">
        <f>CONCATENATE("A",V83)</f>
        <v>A82</v>
      </c>
      <c r="X83" s="532" t="str">
        <f>CONCATENATE("D",V83)</f>
        <v>D82</v>
      </c>
      <c r="Y83" s="532" t="str">
        <f>CONCATENATE("E",V83)</f>
        <v>E82</v>
      </c>
      <c r="AB83" s="269">
        <f t="shared" si="24"/>
        <v>79</v>
      </c>
    </row>
    <row r="84" spans="1:28" ht="11.5" thickTop="1" thickBot="1">
      <c r="A84" s="636">
        <f>MAINTENANCE!B36</f>
        <v>0</v>
      </c>
      <c r="C84" s="594">
        <f>+MAINTENANCE!BT36</f>
        <v>0</v>
      </c>
      <c r="D84" s="426"/>
      <c r="E84" s="592">
        <f t="shared" si="25"/>
        <v>0</v>
      </c>
      <c r="F84" s="663"/>
      <c r="G84" s="270" t="str">
        <f t="shared" si="26"/>
        <v/>
      </c>
      <c r="N84" s="410"/>
      <c r="R84" s="772"/>
      <c r="S84" s="772"/>
      <c r="T84" s="773"/>
      <c r="V84" s="600"/>
      <c r="W84" s="600"/>
      <c r="X84" s="522"/>
      <c r="Z84" s="532"/>
    </row>
    <row r="85" spans="1:28" ht="11" thickTop="1">
      <c r="A85" s="636">
        <f>MAINTENANCE!B37</f>
        <v>0</v>
      </c>
      <c r="C85" s="594">
        <f>+MAINTENANCE!BT37</f>
        <v>0</v>
      </c>
      <c r="D85" s="426"/>
      <c r="E85" s="592">
        <f t="shared" si="25"/>
        <v>0</v>
      </c>
      <c r="F85" s="663"/>
      <c r="G85" s="270" t="str">
        <f t="shared" si="26"/>
        <v/>
      </c>
      <c r="H85" s="410" t="str">
        <f>'OTHER COSTS'!A47</f>
        <v>SPECIAL PROJECTS</v>
      </c>
      <c r="I85" s="410"/>
      <c r="J85" s="410"/>
      <c r="K85" s="413"/>
      <c r="L85" s="545" t="s">
        <v>22</v>
      </c>
      <c r="N85" s="410" t="s">
        <v>262</v>
      </c>
      <c r="R85" s="772" t="s">
        <v>116</v>
      </c>
      <c r="S85" s="772" t="s">
        <v>259</v>
      </c>
      <c r="T85" s="773" t="s">
        <v>260</v>
      </c>
      <c r="U85" s="269"/>
      <c r="V85" s="600"/>
    </row>
    <row r="86" spans="1:28" ht="11" thickBot="1">
      <c r="A86" s="636">
        <f>MAINTENANCE!B38</f>
        <v>0</v>
      </c>
      <c r="C86" s="594">
        <f>+MAINTENANCE!BT38</f>
        <v>0</v>
      </c>
      <c r="D86" s="426"/>
      <c r="E86" s="592">
        <f t="shared" si="25"/>
        <v>0</v>
      </c>
      <c r="F86" s="663"/>
      <c r="G86" s="270" t="str">
        <f t="shared" si="26"/>
        <v/>
      </c>
      <c r="H86" s="414"/>
      <c r="I86" s="414"/>
      <c r="J86" s="414"/>
      <c r="K86" s="415"/>
      <c r="L86" s="595"/>
      <c r="N86" s="269" t="str">
        <f t="shared" ref="N86:N90" ca="1" si="30">IF(V86&gt;0,INDIRECT(W86),"")</f>
        <v>Reposition lugs on rear steps</v>
      </c>
      <c r="R86" s="269">
        <f t="shared" ref="R86:R90" ca="1" si="31">IF(V86&gt;0,INDIRECT(X86),"")</f>
        <v>50</v>
      </c>
      <c r="S86" s="269">
        <f t="shared" ref="S86:S90" ca="1" si="32">IF(W86&gt;0,INDIRECT(Y86),"")</f>
        <v>50</v>
      </c>
      <c r="T86" s="269">
        <f ca="1">R86</f>
        <v>50</v>
      </c>
      <c r="U86" s="269"/>
      <c r="V86" s="600">
        <v>61</v>
      </c>
      <c r="W86" s="532" t="str">
        <f>CONCATENATE("A",V86)</f>
        <v>A61</v>
      </c>
      <c r="X86" s="532" t="str">
        <f t="shared" ref="X86:X89" si="33">CONCATENATE("D",V86)</f>
        <v>D61</v>
      </c>
      <c r="Y86" s="532" t="str">
        <f t="shared" ref="Y86:Y89" si="34">CONCATENATE("E",V86)</f>
        <v>E61</v>
      </c>
    </row>
    <row r="87" spans="1:28" ht="7.5" thickTop="1">
      <c r="A87" s="636">
        <f>MAINTENANCE!B39</f>
        <v>0</v>
      </c>
      <c r="C87" s="594">
        <f>+MAINTENANCE!BT39</f>
        <v>0</v>
      </c>
      <c r="D87" s="426"/>
      <c r="E87" s="592">
        <f t="shared" si="25"/>
        <v>0</v>
      </c>
      <c r="F87" s="663"/>
      <c r="G87" s="270" t="str">
        <f t="shared" si="26"/>
        <v/>
      </c>
      <c r="H87" s="518">
        <f>+'OTHER COSTS'!A49</f>
        <v>0</v>
      </c>
      <c r="I87" s="276"/>
      <c r="J87" s="276"/>
      <c r="K87" s="276"/>
      <c r="L87" s="603">
        <f>+'OTHER COSTS'!BS49</f>
        <v>0</v>
      </c>
      <c r="N87" s="269" t="str">
        <f t="shared" ca="1" si="30"/>
        <v>Permanent cover for boiler chimney</v>
      </c>
      <c r="R87" s="269">
        <f t="shared" ca="1" si="31"/>
        <v>50</v>
      </c>
      <c r="S87" s="269">
        <f t="shared" ca="1" si="32"/>
        <v>50</v>
      </c>
      <c r="T87" s="269">
        <f ca="1">R87</f>
        <v>50</v>
      </c>
      <c r="U87" s="269"/>
      <c r="V87" s="600">
        <v>59</v>
      </c>
      <c r="W87" s="532" t="str">
        <f t="shared" ref="W87:W90" si="35">CONCATENATE("A",V87)</f>
        <v>A59</v>
      </c>
      <c r="X87" s="532" t="str">
        <f t="shared" si="33"/>
        <v>D59</v>
      </c>
      <c r="Y87" s="532" t="str">
        <f t="shared" si="34"/>
        <v>E59</v>
      </c>
    </row>
    <row r="88" spans="1:28">
      <c r="A88" s="636">
        <f>MAINTENANCE!B40</f>
        <v>0</v>
      </c>
      <c r="C88" s="594">
        <f>+MAINTENANCE!BT40</f>
        <v>0</v>
      </c>
      <c r="D88" s="426"/>
      <c r="E88" s="592">
        <f t="shared" si="25"/>
        <v>0</v>
      </c>
      <c r="F88" s="663"/>
      <c r="G88" s="270" t="str">
        <f t="shared" si="26"/>
        <v/>
      </c>
      <c r="H88" s="270">
        <f>+'OTHER COSTS'!A54</f>
        <v>0</v>
      </c>
      <c r="L88" s="604">
        <f>+'OTHER COSTS'!BS54</f>
        <v>0</v>
      </c>
      <c r="N88" s="269" t="str">
        <f t="shared" ca="1" si="30"/>
        <v>Arrange re-blacking the hull (one coat epoxy)</v>
      </c>
      <c r="R88" s="269">
        <f t="shared" ca="1" si="31"/>
        <v>700</v>
      </c>
      <c r="S88" s="269">
        <f t="shared" ca="1" si="32"/>
        <v>700</v>
      </c>
      <c r="T88" s="269">
        <f ca="1">R88</f>
        <v>700</v>
      </c>
      <c r="U88" s="269"/>
      <c r="V88" s="600">
        <v>67</v>
      </c>
      <c r="W88" s="532" t="str">
        <f t="shared" si="35"/>
        <v>A67</v>
      </c>
      <c r="X88" s="532" t="str">
        <f t="shared" si="33"/>
        <v>D67</v>
      </c>
      <c r="Y88" s="532" t="str">
        <f t="shared" si="34"/>
        <v>E67</v>
      </c>
    </row>
    <row r="89" spans="1:28" ht="7.5" thickBot="1">
      <c r="A89" s="271" t="s">
        <v>22</v>
      </c>
      <c r="B89" s="272"/>
      <c r="C89" s="628">
        <f>SUM(C52:C70)</f>
        <v>1225.0500000000002</v>
      </c>
      <c r="D89" s="627">
        <f>SUM(D52:D88)</f>
        <v>3355</v>
      </c>
      <c r="E89" s="606">
        <f>SUM(E52:E88)</f>
        <v>1267.4699999999998</v>
      </c>
      <c r="F89" s="630"/>
      <c r="H89" s="271" t="s">
        <v>22</v>
      </c>
      <c r="I89" s="272"/>
      <c r="J89" s="272"/>
      <c r="K89" s="272"/>
      <c r="L89" s="273">
        <f>SUM(L87:L87)</f>
        <v>0</v>
      </c>
      <c r="N89" s="269" t="str">
        <f t="shared" ca="1" si="30"/>
        <v>Arrange repair of gunnel under rear boards.</v>
      </c>
      <c r="R89" s="269">
        <f t="shared" ca="1" si="31"/>
        <v>700</v>
      </c>
      <c r="S89" s="269">
        <f t="shared" ca="1" si="32"/>
        <v>700</v>
      </c>
      <c r="T89" s="269">
        <v>2000</v>
      </c>
      <c r="U89" s="269"/>
      <c r="V89" s="600">
        <v>68</v>
      </c>
      <c r="W89" s="532" t="str">
        <f t="shared" si="35"/>
        <v>A68</v>
      </c>
      <c r="X89" s="532" t="str">
        <f t="shared" si="33"/>
        <v>D68</v>
      </c>
      <c r="Y89" s="532" t="str">
        <f t="shared" si="34"/>
        <v>E68</v>
      </c>
    </row>
    <row r="90" spans="1:28" ht="7.5" thickTop="1">
      <c r="A90" s="531"/>
      <c r="B90" s="531"/>
      <c r="C90" s="607"/>
      <c r="D90" s="553"/>
      <c r="E90" s="608">
        <f>IF(ISTEXT(D90),0,D90)-C90</f>
        <v>0</v>
      </c>
      <c r="F90" s="531"/>
      <c r="G90" s="269" t="str">
        <f>IF(F90="X","*",IF(OR(F90="P",F90="N"),"",IF(ABS(E90/(D90+0.001))&gt;$J$1,IF(OR(ABS(E90)&gt;20,C90=0),IF(E90&lt;0,"&gt;","&lt;"),""),"")))</f>
        <v/>
      </c>
      <c r="N90" s="269" t="str">
        <f t="shared" ca="1" si="30"/>
        <v>Arrange Improvent of the balance of the rudder</v>
      </c>
      <c r="R90" s="269">
        <f t="shared" ca="1" si="31"/>
        <v>50</v>
      </c>
      <c r="S90" s="269">
        <f t="shared" ca="1" si="32"/>
        <v>50</v>
      </c>
      <c r="T90" s="269">
        <f ca="1">R90</f>
        <v>50</v>
      </c>
      <c r="U90" s="269"/>
      <c r="V90" s="600">
        <v>69</v>
      </c>
      <c r="W90" s="532" t="str">
        <f t="shared" si="35"/>
        <v>A69</v>
      </c>
      <c r="X90" s="532" t="str">
        <f t="shared" ref="X90" si="36">CONCATENATE("D",V90)</f>
        <v>D69</v>
      </c>
      <c r="Y90" s="532" t="str">
        <f t="shared" ref="Y90" si="37">CONCATENATE("E",V90)</f>
        <v>E69</v>
      </c>
    </row>
    <row r="92" spans="1:28" ht="10.5">
      <c r="A92" s="660"/>
      <c r="B92" s="531"/>
      <c r="C92" s="607"/>
      <c r="D92" s="553"/>
      <c r="E92" s="608"/>
      <c r="F92" s="629"/>
      <c r="G92" s="269" t="str">
        <f>IF(F92="X","*",IF(OR(F92="P",F92="N"),"",IF(ABS(E92/(D92+0.001))&gt;$J$1,IF(ABS(E92)&gt;20,IF(E92&lt;0,"&gt;","&lt;"),""),"")))</f>
        <v/>
      </c>
      <c r="N92" s="776" t="s">
        <v>264</v>
      </c>
      <c r="O92" s="647"/>
      <c r="P92" s="777"/>
      <c r="Q92" s="647"/>
      <c r="R92" s="647"/>
      <c r="S92" s="647"/>
      <c r="T92" s="778" t="str">
        <f>CONCATENATE("Cost= ",TEXT(SUM(T93:T93),"£0.00"))</f>
        <v>Cost= £0.00</v>
      </c>
      <c r="U92" s="647"/>
      <c r="V92" s="779"/>
      <c r="W92" s="779"/>
      <c r="X92" s="780" t="s">
        <v>41</v>
      </c>
      <c r="Y92" s="647"/>
      <c r="Z92" s="647"/>
      <c r="AA92" s="647"/>
    </row>
    <row r="93" spans="1:28" ht="10.5">
      <c r="N93" s="647"/>
      <c r="O93" s="781"/>
      <c r="P93" s="782"/>
      <c r="Q93" s="782"/>
      <c r="R93" s="782"/>
      <c r="S93" s="782"/>
      <c r="T93" s="783"/>
      <c r="U93" s="784"/>
      <c r="V93" s="779"/>
      <c r="W93" s="779"/>
      <c r="X93" s="647" t="str">
        <f>CONCATENATE("H",V93)</f>
        <v>H</v>
      </c>
      <c r="Y93" s="647" t="str">
        <f>CONCATENATE("L",V93)</f>
        <v>L</v>
      </c>
      <c r="Z93" s="647" t="str">
        <f>CONCATENATE("H",W93)</f>
        <v>H</v>
      </c>
      <c r="AA93" s="647" t="e">
        <f>CONCATENATE("L",#REF!)</f>
        <v>#REF!</v>
      </c>
    </row>
  </sheetData>
  <mergeCells count="8">
    <mergeCell ref="A51:B51"/>
    <mergeCell ref="D31:I33"/>
    <mergeCell ref="R20:T20"/>
    <mergeCell ref="N32:T33"/>
    <mergeCell ref="A18:A19"/>
    <mergeCell ref="T34:T35"/>
    <mergeCell ref="T38:T39"/>
    <mergeCell ref="T44:T45"/>
  </mergeCells>
  <phoneticPr fontId="9" type="noConversion"/>
  <conditionalFormatting sqref="A52:A88">
    <cfRule type="expression" dxfId="17" priority="20">
      <formula>$D52="removed"</formula>
    </cfRule>
  </conditionalFormatting>
  <conditionalFormatting sqref="A90">
    <cfRule type="expression" dxfId="16" priority="22">
      <formula>$D90="removed"</formula>
    </cfRule>
  </conditionalFormatting>
  <conditionalFormatting sqref="O35 O37 O39 O41 O43 O45 O47 O49">
    <cfRule type="expression" dxfId="15" priority="1">
      <formula>$V$35</formula>
    </cfRule>
  </conditionalFormatting>
  <conditionalFormatting sqref="O37 O39 O45 O47">
    <cfRule type="expression" dxfId="14" priority="8">
      <formula>$N$35</formula>
    </cfRule>
  </conditionalFormatting>
  <conditionalFormatting sqref="O41">
    <cfRule type="expression" dxfId="13" priority="6">
      <formula>$N$35</formula>
    </cfRule>
    <cfRule type="expression" dxfId="12" priority="32">
      <formula>$V44</formula>
    </cfRule>
    <cfRule type="cellIs" dxfId="11" priority="33" operator="equal">
      <formula>"..#."</formula>
    </cfRule>
  </conditionalFormatting>
  <conditionalFormatting sqref="O41:O43">
    <cfRule type="cellIs" dxfId="10" priority="11" operator="equal">
      <formula>"..#"</formula>
    </cfRule>
  </conditionalFormatting>
  <conditionalFormatting sqref="O42">
    <cfRule type="expression" dxfId="9" priority="13">
      <formula>$V43</formula>
    </cfRule>
  </conditionalFormatting>
  <conditionalFormatting sqref="O42:O43">
    <cfRule type="cellIs" dxfId="8" priority="10" operator="equal">
      <formula>"..#."</formula>
    </cfRule>
    <cfRule type="cellIs" dxfId="7" priority="12" operator="equal">
      <formula>".#."</formula>
    </cfRule>
  </conditionalFormatting>
  <conditionalFormatting sqref="O43 O35 O37 O39 O41 O45 O47 O49">
    <cfRule type="expression" dxfId="6" priority="17">
      <formula>$N35</formula>
    </cfRule>
  </conditionalFormatting>
  <conditionalFormatting sqref="O43">
    <cfRule type="expression" dxfId="5" priority="5">
      <formula>$N$35</formula>
    </cfRule>
    <cfRule type="expression" dxfId="4" priority="9">
      <formula>$V46</formula>
    </cfRule>
  </conditionalFormatting>
  <conditionalFormatting sqref="O49">
    <cfRule type="expression" dxfId="3" priority="2">
      <formula>$N$35</formula>
    </cfRule>
    <cfRule type="expression" dxfId="2" priority="29">
      <formula>#REF!</formula>
    </cfRule>
    <cfRule type="cellIs" dxfId="1" priority="30" operator="equal">
      <formula>"..#."</formula>
    </cfRule>
    <cfRule type="cellIs" dxfId="0" priority="31" operator="equal">
      <formula>"..#"</formula>
    </cfRule>
  </conditionalFormatting>
  <printOptions horizontalCentered="1"/>
  <pageMargins left="0" right="0" top="3.937007874015748E-2" bottom="0" header="0" footer="0"/>
  <pageSetup paperSize="9" scale="94" fitToHeight="2" orientation="landscape" verticalDpi="4" r:id="rId1"/>
  <headerFooter alignWithMargins="0"/>
  <rowBreaks count="1" manualBreakCount="1">
    <brk id="49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K156"/>
  <sheetViews>
    <sheetView showZeros="0" topLeftCell="A65" workbookViewId="0">
      <pane xSplit="1" topLeftCell="B1" activePane="topRight" state="frozen"/>
      <selection activeCell="R6" sqref="R6"/>
      <selection pane="topRight" activeCell="O103" sqref="O103"/>
    </sheetView>
  </sheetViews>
  <sheetFormatPr defaultColWidth="16" defaultRowHeight="7"/>
  <cols>
    <col min="1" max="1" width="53" style="1" customWidth="1"/>
    <col min="2" max="2" width="11" style="1" customWidth="1"/>
    <col min="3" max="3" width="11.83203125" style="1" customWidth="1"/>
    <col min="4" max="19" width="11" style="1" customWidth="1"/>
    <col min="20" max="20" width="2" style="1" customWidth="1"/>
    <col min="21" max="22" width="11" style="1" customWidth="1"/>
    <col min="23" max="31" width="16" style="1" customWidth="1"/>
    <col min="32" max="16384" width="16" style="1"/>
  </cols>
  <sheetData>
    <row r="1" spans="1:213" ht="35">
      <c r="A1" s="806" t="s">
        <v>138</v>
      </c>
      <c r="I1" s="769" t="s">
        <v>92</v>
      </c>
      <c r="T1" s="614" t="str">
        <f>Summary!$T$2</f>
        <v>25 January 2025</v>
      </c>
      <c r="U1" s="14"/>
    </row>
    <row r="2" spans="1:213" ht="18.75" customHeight="1">
      <c r="A2" s="807"/>
      <c r="C2" s="2"/>
      <c r="I2" s="43"/>
      <c r="K2" s="189"/>
      <c r="L2" s="189"/>
      <c r="U2" s="80"/>
    </row>
    <row r="3" spans="1:213" ht="18.75" customHeight="1" thickBot="1">
      <c r="A3" s="808"/>
      <c r="B3" s="373"/>
      <c r="I3" s="10"/>
      <c r="K3" s="189"/>
      <c r="L3" s="189"/>
      <c r="U3" s="80"/>
    </row>
    <row r="4" spans="1:213" ht="11.5" thickTop="1" thickBot="1">
      <c r="A4" s="62" t="s">
        <v>146</v>
      </c>
      <c r="D4" s="12" t="s">
        <v>145</v>
      </c>
      <c r="E4" s="409"/>
      <c r="F4" s="409" t="s">
        <v>147</v>
      </c>
      <c r="H4" s="408"/>
      <c r="I4" s="408"/>
      <c r="J4" s="408"/>
      <c r="K4" s="408"/>
      <c r="L4" s="408"/>
      <c r="T4" s="195"/>
      <c r="V4" s="195"/>
    </row>
    <row r="5" spans="1:213" s="3" customFormat="1" ht="7.5" thickTop="1">
      <c r="A5" s="78" t="s">
        <v>68</v>
      </c>
      <c r="B5" s="13" t="s">
        <v>139</v>
      </c>
      <c r="C5" s="13" t="s">
        <v>141</v>
      </c>
      <c r="D5" s="198" t="s">
        <v>140</v>
      </c>
      <c r="E5" s="744" t="s">
        <v>205</v>
      </c>
      <c r="F5" s="436" t="s">
        <v>229</v>
      </c>
      <c r="G5" s="436" t="s">
        <v>229</v>
      </c>
      <c r="H5" s="436" t="s">
        <v>229</v>
      </c>
      <c r="I5" s="436" t="s">
        <v>229</v>
      </c>
      <c r="J5" s="436" t="s">
        <v>234</v>
      </c>
      <c r="K5" s="436" t="s">
        <v>229</v>
      </c>
      <c r="L5" s="436" t="s">
        <v>166</v>
      </c>
      <c r="M5" s="436" t="s">
        <v>236</v>
      </c>
      <c r="N5" s="436" t="s">
        <v>102</v>
      </c>
      <c r="O5" s="436" t="s">
        <v>234</v>
      </c>
      <c r="P5" s="436" t="s">
        <v>205</v>
      </c>
      <c r="Q5" s="436" t="s">
        <v>229</v>
      </c>
      <c r="R5" s="436" t="s">
        <v>229</v>
      </c>
      <c r="S5" s="436" t="s">
        <v>234</v>
      </c>
      <c r="T5" s="14"/>
      <c r="U5" s="1"/>
      <c r="V5" s="1"/>
      <c r="W5" s="14"/>
      <c r="X5" s="1"/>
      <c r="Y5" s="14"/>
      <c r="Z5" s="14"/>
      <c r="AA5" s="14"/>
      <c r="AB5" s="14"/>
      <c r="AC5" s="14"/>
      <c r="AD5" s="14"/>
      <c r="AE5" s="14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</row>
    <row r="6" spans="1:213" ht="7.5" thickBot="1">
      <c r="A6" s="7" t="s">
        <v>69</v>
      </c>
      <c r="B6" s="729">
        <v>45341</v>
      </c>
      <c r="C6" s="289">
        <v>45599</v>
      </c>
      <c r="D6" s="289">
        <v>45606</v>
      </c>
      <c r="E6" s="346">
        <v>45490</v>
      </c>
      <c r="F6" s="289">
        <v>45323</v>
      </c>
      <c r="G6" s="289">
        <v>45372</v>
      </c>
      <c r="H6" s="289">
        <v>45396</v>
      </c>
      <c r="I6" s="289">
        <v>44805</v>
      </c>
      <c r="J6" s="289">
        <v>45401</v>
      </c>
      <c r="K6" s="289">
        <v>45425</v>
      </c>
      <c r="L6" s="289">
        <v>45407</v>
      </c>
      <c r="M6" s="289">
        <v>45556</v>
      </c>
      <c r="N6" s="289" t="s">
        <v>241</v>
      </c>
      <c r="O6" s="289">
        <v>45498</v>
      </c>
      <c r="P6" s="289">
        <v>45582</v>
      </c>
      <c r="Q6" s="289">
        <v>45612</v>
      </c>
      <c r="R6" s="289">
        <v>45612</v>
      </c>
      <c r="S6" s="289">
        <v>45590</v>
      </c>
      <c r="T6" s="80"/>
    </row>
    <row r="7" spans="1:213" s="178" customFormat="1" ht="7.5" thickTop="1">
      <c r="A7" s="185" t="s">
        <v>12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80"/>
    </row>
    <row r="8" spans="1:213" s="186" customFormat="1" ht="7.5" thickBot="1">
      <c r="A8" s="187" t="s">
        <v>13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</row>
    <row r="9" spans="1:213" s="241" customFormat="1" ht="7.5" hidden="1" thickTop="1">
      <c r="A9" s="239" t="s">
        <v>111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</row>
    <row r="10" spans="1:213" s="241" customFormat="1" hidden="1">
      <c r="A10" s="233" t="s">
        <v>121</v>
      </c>
      <c r="B10" s="282">
        <f>IF(B7=0,0,1)</f>
        <v>0</v>
      </c>
      <c r="C10" s="404">
        <f t="shared" ref="C10:S10" si="0">IF(C7=0,0,1)</f>
        <v>0</v>
      </c>
      <c r="D10" s="404">
        <f t="shared" si="0"/>
        <v>0</v>
      </c>
      <c r="E10" s="404">
        <f t="shared" si="0"/>
        <v>0</v>
      </c>
      <c r="F10" s="404">
        <f t="shared" si="0"/>
        <v>0</v>
      </c>
      <c r="G10" s="404">
        <f t="shared" si="0"/>
        <v>0</v>
      </c>
      <c r="H10" s="404">
        <f t="shared" si="0"/>
        <v>0</v>
      </c>
      <c r="I10" s="404">
        <f t="shared" si="0"/>
        <v>0</v>
      </c>
      <c r="J10" s="404">
        <f t="shared" si="0"/>
        <v>0</v>
      </c>
      <c r="K10" s="404">
        <f t="shared" si="0"/>
        <v>0</v>
      </c>
      <c r="L10" s="404">
        <f t="shared" si="0"/>
        <v>0</v>
      </c>
      <c r="M10" s="404">
        <f t="shared" si="0"/>
        <v>0</v>
      </c>
      <c r="N10" s="404">
        <f t="shared" si="0"/>
        <v>0</v>
      </c>
      <c r="O10" s="404">
        <f t="shared" si="0"/>
        <v>0</v>
      </c>
      <c r="P10" s="404">
        <f t="shared" si="0"/>
        <v>0</v>
      </c>
      <c r="Q10" s="404">
        <f t="shared" si="0"/>
        <v>0</v>
      </c>
      <c r="R10" s="404">
        <f t="shared" si="0"/>
        <v>0</v>
      </c>
      <c r="S10" s="404">
        <f t="shared" si="0"/>
        <v>0</v>
      </c>
    </row>
    <row r="11" spans="1:213" s="231" customFormat="1" hidden="1">
      <c r="A11" s="233" t="s">
        <v>122</v>
      </c>
      <c r="B11" s="282">
        <f>IF(B7&gt;0,1,0)</f>
        <v>0</v>
      </c>
      <c r="C11" s="404">
        <f t="shared" ref="C11:S11" si="1">IF(C7&gt;0,IF(C9=B9,B11,B11+1),B11)</f>
        <v>0</v>
      </c>
      <c r="D11" s="404">
        <f t="shared" si="1"/>
        <v>0</v>
      </c>
      <c r="E11" s="404">
        <f t="shared" si="1"/>
        <v>0</v>
      </c>
      <c r="F11" s="404">
        <f t="shared" si="1"/>
        <v>0</v>
      </c>
      <c r="G11" s="404">
        <f t="shared" si="1"/>
        <v>0</v>
      </c>
      <c r="H11" s="404">
        <f t="shared" si="1"/>
        <v>0</v>
      </c>
      <c r="I11" s="404">
        <f t="shared" si="1"/>
        <v>0</v>
      </c>
      <c r="J11" s="404">
        <f t="shared" si="1"/>
        <v>0</v>
      </c>
      <c r="K11" s="404">
        <f t="shared" si="1"/>
        <v>0</v>
      </c>
      <c r="L11" s="404">
        <f t="shared" si="1"/>
        <v>0</v>
      </c>
      <c r="M11" s="404">
        <f t="shared" si="1"/>
        <v>0</v>
      </c>
      <c r="N11" s="404">
        <f t="shared" si="1"/>
        <v>0</v>
      </c>
      <c r="O11" s="404">
        <f t="shared" si="1"/>
        <v>0</v>
      </c>
      <c r="P11" s="404">
        <f t="shared" si="1"/>
        <v>0</v>
      </c>
      <c r="Q11" s="404">
        <f t="shared" si="1"/>
        <v>0</v>
      </c>
      <c r="R11" s="404">
        <f t="shared" si="1"/>
        <v>0</v>
      </c>
      <c r="S11" s="404">
        <f t="shared" si="1"/>
        <v>0</v>
      </c>
    </row>
    <row r="12" spans="1:213" s="231" customFormat="1" ht="7.5" hidden="1" thickBot="1">
      <c r="A12" s="233" t="s">
        <v>110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</row>
    <row r="13" spans="1:213" ht="11.5" thickTop="1" thickBot="1">
      <c r="A13" s="62" t="s">
        <v>14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</row>
    <row r="14" spans="1:213" s="48" customFormat="1" ht="7.5" thickTop="1">
      <c r="A14" s="47" t="s">
        <v>23</v>
      </c>
      <c r="B14" s="76"/>
      <c r="C14" s="76"/>
      <c r="D14" s="76"/>
      <c r="E14" s="76"/>
      <c r="F14" s="76">
        <v>151.36000000000001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</row>
    <row r="15" spans="1:213" s="43" customFormat="1">
      <c r="A15" s="50" t="s">
        <v>24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</row>
    <row r="16" spans="1:213" s="102" customFormat="1" ht="7.5" thickBot="1">
      <c r="A16" s="100" t="s">
        <v>27</v>
      </c>
      <c r="B16" s="405"/>
      <c r="C16" s="299"/>
      <c r="D16" s="299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1:31" s="43" customFormat="1" ht="11.5" thickTop="1" thickBot="1">
      <c r="A17" s="103" t="s">
        <v>70</v>
      </c>
      <c r="B17" s="406">
        <f>SUM(B14:B16)</f>
        <v>0</v>
      </c>
      <c r="C17" s="406">
        <f>SUM(C14:C16)</f>
        <v>0</v>
      </c>
      <c r="D17" s="406">
        <f>SUM(D14:D16)</f>
        <v>0</v>
      </c>
      <c r="E17" s="406">
        <f>SUM(E14:E16)</f>
        <v>0</v>
      </c>
      <c r="F17" s="406">
        <f t="shared" ref="F17:S17" si="2">SUM(F14:F16)</f>
        <v>151.36000000000001</v>
      </c>
      <c r="G17" s="406">
        <f t="shared" si="2"/>
        <v>0</v>
      </c>
      <c r="H17" s="406">
        <f t="shared" si="2"/>
        <v>0</v>
      </c>
      <c r="I17" s="406">
        <f t="shared" si="2"/>
        <v>0</v>
      </c>
      <c r="J17" s="406">
        <f>SUM(J14:J16)</f>
        <v>0</v>
      </c>
      <c r="K17" s="406">
        <f>SUM(K14:K16)</f>
        <v>0</v>
      </c>
      <c r="L17" s="406">
        <f>SUM(L14:L16)</f>
        <v>0</v>
      </c>
      <c r="M17" s="406">
        <f>SUM(M14:M16)</f>
        <v>0</v>
      </c>
      <c r="N17" s="406">
        <f>SUM(N14:N16)</f>
        <v>0</v>
      </c>
      <c r="O17" s="406">
        <f t="shared" si="2"/>
        <v>0</v>
      </c>
      <c r="P17" s="406">
        <f t="shared" si="2"/>
        <v>0</v>
      </c>
      <c r="Q17" s="406">
        <f t="shared" si="2"/>
        <v>0</v>
      </c>
      <c r="R17" s="406">
        <f t="shared" si="2"/>
        <v>0</v>
      </c>
      <c r="S17" s="406">
        <f t="shared" si="2"/>
        <v>0</v>
      </c>
    </row>
    <row r="18" spans="1:31" s="43" customFormat="1" ht="11.5" thickTop="1" thickBot="1">
      <c r="A18" s="11" t="s">
        <v>72</v>
      </c>
      <c r="B18" s="256" t="str">
        <f t="shared" ref="B18:S18" ca="1" si="3">IF(OR(LEFT(B5,2)="un",LEFT(B5,1)="(",B17&lt;&gt;0,B31&lt;&gt;0, B5="",B6&gt;NOW(),B6=""),"","Acct Due")</f>
        <v/>
      </c>
      <c r="C18" s="256" t="str">
        <f t="shared" ca="1" si="3"/>
        <v/>
      </c>
      <c r="D18" s="256" t="str">
        <f t="shared" ca="1" si="3"/>
        <v/>
      </c>
      <c r="E18" s="256" t="str">
        <f t="shared" ca="1" si="3"/>
        <v/>
      </c>
      <c r="F18" s="256" t="str">
        <f t="shared" ca="1" si="3"/>
        <v/>
      </c>
      <c r="G18" s="256" t="str">
        <f t="shared" ca="1" si="3"/>
        <v/>
      </c>
      <c r="H18" s="256" t="str">
        <f t="shared" ca="1" si="3"/>
        <v/>
      </c>
      <c r="I18" s="256" t="str">
        <f t="shared" ca="1" si="3"/>
        <v/>
      </c>
      <c r="J18" s="256" t="str">
        <f t="shared" ca="1" si="3"/>
        <v/>
      </c>
      <c r="K18" s="256" t="str">
        <f t="shared" ca="1" si="3"/>
        <v/>
      </c>
      <c r="L18" s="256" t="str">
        <f t="shared" ca="1" si="3"/>
        <v/>
      </c>
      <c r="M18" s="256" t="str">
        <f t="shared" ca="1" si="3"/>
        <v/>
      </c>
      <c r="N18" s="256" t="str">
        <f t="shared" ca="1" si="3"/>
        <v/>
      </c>
      <c r="O18" s="256" t="str">
        <f t="shared" ca="1" si="3"/>
        <v/>
      </c>
      <c r="P18" s="256" t="str">
        <f t="shared" ca="1" si="3"/>
        <v/>
      </c>
      <c r="Q18" s="256" t="str">
        <f t="shared" ca="1" si="3"/>
        <v/>
      </c>
      <c r="R18" s="256" t="str">
        <f t="shared" ca="1" si="3"/>
        <v/>
      </c>
      <c r="S18" s="256" t="str">
        <f t="shared" ca="1" si="3"/>
        <v/>
      </c>
    </row>
    <row r="19" spans="1:31" s="48" customFormat="1" ht="7.5" thickTop="1">
      <c r="A19" s="47" t="s">
        <v>37</v>
      </c>
      <c r="B19" s="730"/>
      <c r="C19" s="296"/>
      <c r="D19" s="296"/>
      <c r="E19" s="296"/>
      <c r="F19" s="296"/>
      <c r="G19" s="296"/>
      <c r="H19" s="296"/>
      <c r="I19" s="296">
        <v>123.5</v>
      </c>
      <c r="J19" s="296"/>
      <c r="K19" s="296">
        <v>47.83</v>
      </c>
      <c r="L19" s="296"/>
      <c r="M19" s="296"/>
      <c r="N19" s="296"/>
      <c r="O19" s="296"/>
      <c r="P19" s="296"/>
      <c r="Q19" s="296"/>
      <c r="R19" s="296"/>
      <c r="S19" s="296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pans="1:31" s="43" customFormat="1">
      <c r="A20" s="50" t="s">
        <v>38</v>
      </c>
      <c r="B20" s="731"/>
      <c r="C20" s="299"/>
      <c r="D20" s="299"/>
      <c r="E20" s="299"/>
      <c r="F20" s="299"/>
      <c r="G20" s="299"/>
      <c r="H20" s="299"/>
      <c r="I20" s="299"/>
      <c r="J20" s="299"/>
      <c r="K20" s="299">
        <v>74.36</v>
      </c>
      <c r="L20" s="299"/>
      <c r="M20" s="299"/>
      <c r="N20" s="299"/>
      <c r="O20" s="299"/>
      <c r="P20" s="299"/>
      <c r="Q20" s="299"/>
      <c r="R20" s="299"/>
      <c r="S20" s="299"/>
    </row>
    <row r="21" spans="1:31" s="43" customFormat="1">
      <c r="A21" s="50" t="s">
        <v>39</v>
      </c>
      <c r="B21" s="731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</row>
    <row r="22" spans="1:31" s="91" customFormat="1">
      <c r="A22" s="52" t="s">
        <v>41</v>
      </c>
      <c r="B22" s="89">
        <f>+'OTHER COSTS'!B82</f>
        <v>0</v>
      </c>
      <c r="C22" s="89">
        <f>+'OTHER COSTS'!C82</f>
        <v>0</v>
      </c>
      <c r="D22" s="89">
        <f>+'OTHER COSTS'!D82</f>
        <v>0</v>
      </c>
      <c r="E22" s="89">
        <f>+'OTHER COSTS'!E82</f>
        <v>0</v>
      </c>
      <c r="F22" s="89">
        <f>+'OTHER COSTS'!F82</f>
        <v>0</v>
      </c>
      <c r="G22" s="89">
        <f>+'OTHER COSTS'!G82</f>
        <v>0</v>
      </c>
      <c r="H22" s="89">
        <f>+'OTHER COSTS'!H82</f>
        <v>0</v>
      </c>
      <c r="I22" s="89">
        <f>+'OTHER COSTS'!I82</f>
        <v>0</v>
      </c>
      <c r="J22" s="89">
        <f>+'OTHER COSTS'!J82</f>
        <v>0</v>
      </c>
      <c r="K22" s="89">
        <f>+'OTHER COSTS'!K82</f>
        <v>0</v>
      </c>
      <c r="L22" s="89">
        <f>+'OTHER COSTS'!L82</f>
        <v>0</v>
      </c>
      <c r="M22" s="89">
        <f>+'OTHER COSTS'!M82</f>
        <v>0</v>
      </c>
      <c r="N22" s="89">
        <f>+'OTHER COSTS'!N82</f>
        <v>0</v>
      </c>
      <c r="O22" s="89">
        <f>+'OTHER COSTS'!O82</f>
        <v>0</v>
      </c>
      <c r="P22" s="89">
        <f>+'OTHER COSTS'!P82</f>
        <v>0</v>
      </c>
      <c r="Q22" s="89">
        <f>+'OTHER COSTS'!Q82</f>
        <v>0</v>
      </c>
      <c r="R22" s="89">
        <f>+'OTHER COSTS'!R82</f>
        <v>0</v>
      </c>
      <c r="S22" s="89">
        <f>+'OTHER COSTS'!S82</f>
        <v>0</v>
      </c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pans="1:31" s="45" customFormat="1">
      <c r="A23" s="82" t="s">
        <v>42</v>
      </c>
      <c r="B23" s="42">
        <f>SUM(B19:B22)</f>
        <v>0</v>
      </c>
      <c r="C23" s="42">
        <f>SUM(C19:C22)</f>
        <v>0</v>
      </c>
      <c r="D23" s="42">
        <f>SUM(D19:D22)</f>
        <v>0</v>
      </c>
      <c r="E23" s="42">
        <f>SUM(E19:E22)</f>
        <v>0</v>
      </c>
      <c r="F23" s="42">
        <f t="shared" ref="F23:S23" si="4">SUM(F19:F22)</f>
        <v>0</v>
      </c>
      <c r="G23" s="42">
        <f t="shared" si="4"/>
        <v>0</v>
      </c>
      <c r="H23" s="42">
        <f t="shared" si="4"/>
        <v>0</v>
      </c>
      <c r="I23" s="42">
        <f t="shared" si="4"/>
        <v>123.5</v>
      </c>
      <c r="J23" s="42">
        <f>SUM(J19:J22)</f>
        <v>0</v>
      </c>
      <c r="K23" s="42">
        <f>SUM(K19:K22)</f>
        <v>122.19</v>
      </c>
      <c r="L23" s="42">
        <f>SUM(L19:L22)</f>
        <v>0</v>
      </c>
      <c r="M23" s="42">
        <f>SUM(M19:M22)</f>
        <v>0</v>
      </c>
      <c r="N23" s="42">
        <f>SUM(N19:N22)</f>
        <v>0</v>
      </c>
      <c r="O23" s="42">
        <f t="shared" si="4"/>
        <v>0</v>
      </c>
      <c r="P23" s="42">
        <f t="shared" si="4"/>
        <v>0</v>
      </c>
      <c r="Q23" s="42">
        <f t="shared" si="4"/>
        <v>0</v>
      </c>
      <c r="R23" s="42">
        <f t="shared" si="4"/>
        <v>0</v>
      </c>
      <c r="S23" s="42">
        <f t="shared" si="4"/>
        <v>0</v>
      </c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s="85" customFormat="1" ht="7.5" thickBot="1">
      <c r="A24" s="83" t="s">
        <v>83</v>
      </c>
      <c r="B24" s="732"/>
      <c r="C24" s="306"/>
      <c r="D24" s="306"/>
      <c r="E24" s="306"/>
      <c r="F24" s="306"/>
      <c r="G24" s="306"/>
      <c r="H24" s="306"/>
      <c r="I24" s="306">
        <v>35</v>
      </c>
      <c r="J24" s="306"/>
      <c r="K24" s="306">
        <v>20</v>
      </c>
      <c r="L24" s="306"/>
      <c r="M24" s="488">
        <v>26.83</v>
      </c>
      <c r="N24" s="306"/>
      <c r="O24" s="306"/>
      <c r="P24" s="306"/>
      <c r="Q24" s="306"/>
      <c r="R24" s="306"/>
      <c r="S24" s="306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1" s="43" customFormat="1" ht="11.5" thickTop="1" thickBot="1">
      <c r="A25" s="84" t="s">
        <v>73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</row>
    <row r="26" spans="1:31" s="48" customFormat="1" ht="7.5" thickTop="1">
      <c r="A26" s="47" t="s">
        <v>47</v>
      </c>
      <c r="B26" s="76">
        <f>MAINTENANCE!C56</f>
        <v>0</v>
      </c>
      <c r="C26" s="76">
        <f>MAINTENANCE!D56</f>
        <v>0</v>
      </c>
      <c r="D26" s="76">
        <f>MAINTENANCE!E56</f>
        <v>0</v>
      </c>
      <c r="E26" s="76">
        <f>MAINTENANCE!F56</f>
        <v>0</v>
      </c>
      <c r="F26" s="76">
        <f>MAINTENANCE!G56</f>
        <v>0</v>
      </c>
      <c r="G26" s="76">
        <f>MAINTENANCE!H56</f>
        <v>176.72</v>
      </c>
      <c r="H26" s="76">
        <f>MAINTENANCE!I56</f>
        <v>75.539999999999992</v>
      </c>
      <c r="I26" s="76">
        <f>MAINTENANCE!J56</f>
        <v>0</v>
      </c>
      <c r="J26" s="76">
        <f>MAINTENANCE!K56</f>
        <v>612.03</v>
      </c>
      <c r="K26" s="76">
        <f>MAINTENANCE!L56</f>
        <v>55</v>
      </c>
      <c r="L26" s="76">
        <f>MAINTENANCE!M56</f>
        <v>62.04</v>
      </c>
      <c r="M26" s="76">
        <f>MAINTENANCE!N56</f>
        <v>0</v>
      </c>
      <c r="N26" s="76">
        <f>MAINTENANCE!O56</f>
        <v>62.43</v>
      </c>
      <c r="O26" s="76">
        <f>MAINTENANCE!P56</f>
        <v>7.07</v>
      </c>
      <c r="P26" s="76">
        <f>MAINTENANCE!Q56</f>
        <v>0</v>
      </c>
      <c r="Q26" s="76">
        <f>MAINTENANCE!R56</f>
        <v>68</v>
      </c>
      <c r="R26" s="76">
        <f>MAINTENANCE!S56</f>
        <v>310</v>
      </c>
      <c r="S26" s="76">
        <f>MAINTENANCE!T56</f>
        <v>0</v>
      </c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s="43" customFormat="1">
      <c r="A27" s="50" t="s">
        <v>113</v>
      </c>
      <c r="B27" s="66">
        <f>'OTHER COSTS'!B38+'OTHER COSTS'!B45</f>
        <v>0</v>
      </c>
      <c r="C27" s="66">
        <f>'OTHER COSTS'!C38+'OTHER COSTS'!C45</f>
        <v>0</v>
      </c>
      <c r="D27" s="66">
        <f>'OTHER COSTS'!D38+'OTHER COSTS'!D45</f>
        <v>0</v>
      </c>
      <c r="E27" s="66">
        <f>'OTHER COSTS'!E38+'OTHER COSTS'!E45</f>
        <v>0</v>
      </c>
      <c r="F27" s="66">
        <f>'OTHER COSTS'!F38+'OTHER COSTS'!F45</f>
        <v>0</v>
      </c>
      <c r="G27" s="66">
        <f>'OTHER COSTS'!G38+'OTHER COSTS'!G45</f>
        <v>23.98</v>
      </c>
      <c r="H27" s="66">
        <f>'OTHER COSTS'!H38+'OTHER COSTS'!H45</f>
        <v>29.99</v>
      </c>
      <c r="I27" s="66">
        <f>'OTHER COSTS'!I38+'OTHER COSTS'!I45</f>
        <v>0</v>
      </c>
      <c r="J27" s="66">
        <f>'OTHER COSTS'!J38+'OTHER COSTS'!J45</f>
        <v>0</v>
      </c>
      <c r="K27" s="66">
        <f>'OTHER COSTS'!K38+'OTHER COSTS'!K45</f>
        <v>0</v>
      </c>
      <c r="L27" s="66">
        <f>'OTHER COSTS'!L38+'OTHER COSTS'!L45</f>
        <v>0</v>
      </c>
      <c r="M27" s="66">
        <f>'OTHER COSTS'!M38+'OTHER COSTS'!M45</f>
        <v>0</v>
      </c>
      <c r="N27" s="66">
        <f>'OTHER COSTS'!N38+'OTHER COSTS'!N45</f>
        <v>723.08</v>
      </c>
      <c r="O27" s="66">
        <f>'OTHER COSTS'!O38+'OTHER COSTS'!O45</f>
        <v>65</v>
      </c>
      <c r="P27" s="66">
        <f>'OTHER COSTS'!P38+'OTHER COSTS'!P45</f>
        <v>1666.4</v>
      </c>
      <c r="Q27" s="66">
        <f>'OTHER COSTS'!Q38+'OTHER COSTS'!Q45</f>
        <v>65.98</v>
      </c>
      <c r="R27" s="66">
        <f>'OTHER COSTS'!R38+'OTHER COSTS'!R45</f>
        <v>0</v>
      </c>
      <c r="S27" s="66">
        <f>'OTHER COSTS'!S38+'OTHER COSTS'!S45</f>
        <v>0</v>
      </c>
    </row>
    <row r="28" spans="1:31" s="43" customFormat="1">
      <c r="A28" s="661" t="s">
        <v>198</v>
      </c>
      <c r="B28" s="66">
        <f>'OTHER COSTS'!B56</f>
        <v>0</v>
      </c>
      <c r="C28" s="66">
        <f>'OTHER COSTS'!C56</f>
        <v>0</v>
      </c>
      <c r="D28" s="66">
        <f>'OTHER COSTS'!D56</f>
        <v>0</v>
      </c>
      <c r="E28" s="66">
        <f>'OTHER COSTS'!E56</f>
        <v>0</v>
      </c>
      <c r="F28" s="66">
        <f>'OTHER COSTS'!F56</f>
        <v>0</v>
      </c>
      <c r="G28" s="66">
        <f>'OTHER COSTS'!G56</f>
        <v>0</v>
      </c>
      <c r="H28" s="66">
        <f>'OTHER COSTS'!H56</f>
        <v>0</v>
      </c>
      <c r="I28" s="66">
        <f>'OTHER COSTS'!I56</f>
        <v>0</v>
      </c>
      <c r="J28" s="66">
        <f>'OTHER COSTS'!J56</f>
        <v>0</v>
      </c>
      <c r="K28" s="66">
        <f>'OTHER COSTS'!K56</f>
        <v>0</v>
      </c>
      <c r="L28" s="66">
        <f>'OTHER COSTS'!L56</f>
        <v>0</v>
      </c>
      <c r="M28" s="66">
        <f>'OTHER COSTS'!M56</f>
        <v>0</v>
      </c>
      <c r="N28" s="66">
        <f>'OTHER COSTS'!N56</f>
        <v>0</v>
      </c>
      <c r="O28" s="66">
        <f>'OTHER COSTS'!O56</f>
        <v>0</v>
      </c>
      <c r="P28" s="66">
        <f>'OTHER COSTS'!P56</f>
        <v>0</v>
      </c>
      <c r="Q28" s="66">
        <f>'OTHER COSTS'!Q56</f>
        <v>0</v>
      </c>
      <c r="R28" s="66">
        <f>'OTHER COSTS'!R56</f>
        <v>0</v>
      </c>
      <c r="S28" s="66">
        <f>'OTHER COSTS'!S56</f>
        <v>0</v>
      </c>
    </row>
    <row r="29" spans="1:31" s="91" customFormat="1" ht="9" customHeight="1">
      <c r="A29" s="743" t="s">
        <v>206</v>
      </c>
      <c r="B29" s="733">
        <f>54.33+397.28</f>
        <v>451.60999999999996</v>
      </c>
      <c r="C29" s="250">
        <v>1473.64</v>
      </c>
      <c r="D29" s="309">
        <v>974.04</v>
      </c>
      <c r="E29" s="309">
        <v>60</v>
      </c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>
        <v>297</v>
      </c>
      <c r="R29" s="309">
        <v>14.15</v>
      </c>
      <c r="S29" s="307">
        <v>342</v>
      </c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s="45" customFormat="1" ht="7.5" thickBot="1">
      <c r="A30" s="82" t="s">
        <v>74</v>
      </c>
      <c r="B30" s="46">
        <f>SUM(B26:B29)</f>
        <v>451.60999999999996</v>
      </c>
      <c r="C30" s="46">
        <f>SUM(C26:C29)</f>
        <v>1473.64</v>
      </c>
      <c r="D30" s="46">
        <f>SUM(D26:D29)</f>
        <v>974.04</v>
      </c>
      <c r="E30" s="46">
        <f>SUM(E26:E29)</f>
        <v>60</v>
      </c>
      <c r="F30" s="46">
        <f t="shared" ref="F30:S30" si="5">SUM(F26:F29)</f>
        <v>0</v>
      </c>
      <c r="G30" s="46">
        <f t="shared" si="5"/>
        <v>200.7</v>
      </c>
      <c r="H30" s="46">
        <f t="shared" si="5"/>
        <v>105.52999999999999</v>
      </c>
      <c r="I30" s="46">
        <f t="shared" si="5"/>
        <v>0</v>
      </c>
      <c r="J30" s="46">
        <f>SUM(J26:J29)</f>
        <v>612.03</v>
      </c>
      <c r="K30" s="46">
        <f>SUM(K26:K29)</f>
        <v>55</v>
      </c>
      <c r="L30" s="46">
        <f>SUM(L26:L29)</f>
        <v>62.04</v>
      </c>
      <c r="M30" s="46">
        <f>SUM(M26:M29)</f>
        <v>0</v>
      </c>
      <c r="N30" s="46">
        <f>SUM(N26:N29)</f>
        <v>785.51</v>
      </c>
      <c r="O30" s="46">
        <f t="shared" si="5"/>
        <v>72.069999999999993</v>
      </c>
      <c r="P30" s="46">
        <f t="shared" si="5"/>
        <v>1666.4</v>
      </c>
      <c r="Q30" s="46">
        <f t="shared" si="5"/>
        <v>430.98</v>
      </c>
      <c r="R30" s="46">
        <f t="shared" si="5"/>
        <v>324.14999999999998</v>
      </c>
      <c r="S30" s="42">
        <f t="shared" si="5"/>
        <v>342</v>
      </c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s="73" customFormat="1" ht="11.5" thickTop="1" thickBot="1">
      <c r="A31" s="254" t="s">
        <v>53</v>
      </c>
      <c r="B31" s="49">
        <f>SUM(B24:B29)+B23</f>
        <v>451.60999999999996</v>
      </c>
      <c r="C31" s="49">
        <f>SUM(C24:C29)+C23</f>
        <v>1473.64</v>
      </c>
      <c r="D31" s="49">
        <f>SUM(D24:D29)+D23</f>
        <v>974.04</v>
      </c>
      <c r="E31" s="49">
        <f>SUM(E24:E29)+E23</f>
        <v>60</v>
      </c>
      <c r="F31" s="49">
        <f t="shared" ref="F31:S31" si="6">SUM(F24:F29)+F23</f>
        <v>0</v>
      </c>
      <c r="G31" s="49">
        <f t="shared" si="6"/>
        <v>200.7</v>
      </c>
      <c r="H31" s="49">
        <f t="shared" si="6"/>
        <v>105.52999999999999</v>
      </c>
      <c r="I31" s="49">
        <f t="shared" si="6"/>
        <v>158.5</v>
      </c>
      <c r="J31" s="49">
        <f>SUM(J24:J29)+J23</f>
        <v>612.03</v>
      </c>
      <c r="K31" s="49">
        <f>SUM(K24:K29)+K23</f>
        <v>197.19</v>
      </c>
      <c r="L31" s="49">
        <f>SUM(L24:L29)+L23</f>
        <v>62.04</v>
      </c>
      <c r="M31" s="49">
        <f>SUM(M24:M29)+M23</f>
        <v>26.83</v>
      </c>
      <c r="N31" s="49">
        <f>SUM(N24:N29)+N23</f>
        <v>785.51</v>
      </c>
      <c r="O31" s="49">
        <f t="shared" si="6"/>
        <v>72.069999999999993</v>
      </c>
      <c r="P31" s="49">
        <f t="shared" si="6"/>
        <v>1666.4</v>
      </c>
      <c r="Q31" s="49">
        <f t="shared" si="6"/>
        <v>430.98</v>
      </c>
      <c r="R31" s="49">
        <f t="shared" si="6"/>
        <v>324.14999999999998</v>
      </c>
      <c r="S31" s="76">
        <f t="shared" si="6"/>
        <v>342</v>
      </c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s="43" customFormat="1" ht="8" thickTop="1" thickBot="1">
      <c r="A32" s="258" t="s">
        <v>119</v>
      </c>
      <c r="B32" s="261">
        <f>B17-B31</f>
        <v>-451.60999999999996</v>
      </c>
      <c r="C32" s="261">
        <f>C17-C31</f>
        <v>-1473.64</v>
      </c>
      <c r="D32" s="261">
        <f>D17-D31</f>
        <v>-974.04</v>
      </c>
      <c r="E32" s="261">
        <f>E17-E31</f>
        <v>-60</v>
      </c>
      <c r="F32" s="261">
        <f t="shared" ref="F32:S32" si="7">F17-F31</f>
        <v>151.36000000000001</v>
      </c>
      <c r="G32" s="261">
        <f t="shared" si="7"/>
        <v>-200.7</v>
      </c>
      <c r="H32" s="261">
        <f t="shared" si="7"/>
        <v>-105.52999999999999</v>
      </c>
      <c r="I32" s="261">
        <f t="shared" si="7"/>
        <v>-158.5</v>
      </c>
      <c r="J32" s="261">
        <f>J17-J31</f>
        <v>-612.03</v>
      </c>
      <c r="K32" s="261">
        <f>K17-K31</f>
        <v>-197.19</v>
      </c>
      <c r="L32" s="261">
        <f>L17-L31</f>
        <v>-62.04</v>
      </c>
      <c r="M32" s="261">
        <f>M17-M31</f>
        <v>-26.83</v>
      </c>
      <c r="N32" s="261">
        <f>N17-N31</f>
        <v>-785.51</v>
      </c>
      <c r="O32" s="261">
        <f t="shared" si="7"/>
        <v>-72.069999999999993</v>
      </c>
      <c r="P32" s="261">
        <f t="shared" si="7"/>
        <v>-1666.4</v>
      </c>
      <c r="Q32" s="261">
        <f t="shared" si="7"/>
        <v>-430.98</v>
      </c>
      <c r="R32" s="261">
        <f t="shared" si="7"/>
        <v>-324.14999999999998</v>
      </c>
      <c r="S32" s="259">
        <f t="shared" si="7"/>
        <v>-342</v>
      </c>
    </row>
    <row r="33" spans="1:199" s="194" customFormat="1" ht="8" thickTop="1" thickBot="1">
      <c r="A33" s="86" t="s">
        <v>118</v>
      </c>
      <c r="B33" s="310" t="s">
        <v>232</v>
      </c>
      <c r="C33" s="310" t="s">
        <v>235</v>
      </c>
      <c r="D33" s="310" t="s">
        <v>235</v>
      </c>
      <c r="E33" s="310" t="s">
        <v>235</v>
      </c>
      <c r="F33" s="310" t="s">
        <v>232</v>
      </c>
      <c r="G33" s="310" t="s">
        <v>232</v>
      </c>
      <c r="H33" s="310" t="s">
        <v>232</v>
      </c>
      <c r="I33" s="310" t="s">
        <v>232</v>
      </c>
      <c r="J33" s="310" t="s">
        <v>235</v>
      </c>
      <c r="K33" s="310" t="s">
        <v>235</v>
      </c>
      <c r="L33" s="310" t="s">
        <v>235</v>
      </c>
      <c r="M33" s="310" t="s">
        <v>235</v>
      </c>
      <c r="N33" s="310" t="s">
        <v>235</v>
      </c>
      <c r="O33" s="310" t="s">
        <v>232</v>
      </c>
      <c r="P33" s="310" t="s">
        <v>248</v>
      </c>
      <c r="Q33" s="310" t="s">
        <v>235</v>
      </c>
      <c r="R33" s="310" t="str">
        <f>P33</f>
        <v>onlinr</v>
      </c>
      <c r="S33" s="310" t="s">
        <v>235</v>
      </c>
      <c r="T33" s="178"/>
      <c r="U33" s="178"/>
    </row>
    <row r="34" spans="1:199" s="230" customFormat="1" ht="7.5" hidden="1" thickTop="1">
      <c r="A34" s="228" t="s">
        <v>104</v>
      </c>
      <c r="B34" s="230">
        <f t="shared" ref="B34:K34" si="8">IF(B33="post bal.",B32,0)</f>
        <v>0</v>
      </c>
      <c r="C34" s="230">
        <f t="shared" si="8"/>
        <v>0</v>
      </c>
      <c r="D34" s="230">
        <f t="shared" si="8"/>
        <v>0</v>
      </c>
      <c r="E34" s="230">
        <f t="shared" si="8"/>
        <v>0</v>
      </c>
      <c r="F34" s="230">
        <f t="shared" si="8"/>
        <v>0</v>
      </c>
      <c r="G34" s="230">
        <f t="shared" si="8"/>
        <v>0</v>
      </c>
      <c r="H34" s="230">
        <f t="shared" si="8"/>
        <v>0</v>
      </c>
      <c r="I34" s="230">
        <f t="shared" si="8"/>
        <v>0</v>
      </c>
      <c r="J34" s="230">
        <f t="shared" si="8"/>
        <v>0</v>
      </c>
      <c r="K34" s="230">
        <f t="shared" si="8"/>
        <v>0</v>
      </c>
      <c r="L34" s="230">
        <f t="shared" ref="L34:S34" si="9">IF(L33="post bal.",L32,0)</f>
        <v>0</v>
      </c>
      <c r="M34" s="230">
        <f t="shared" si="9"/>
        <v>0</v>
      </c>
      <c r="N34" s="230">
        <f t="shared" si="9"/>
        <v>0</v>
      </c>
      <c r="O34" s="230">
        <f t="shared" si="9"/>
        <v>0</v>
      </c>
      <c r="P34" s="230">
        <f t="shared" si="9"/>
        <v>0</v>
      </c>
      <c r="Q34" s="230">
        <f t="shared" si="9"/>
        <v>0</v>
      </c>
      <c r="R34" s="230">
        <f t="shared" si="9"/>
        <v>0</v>
      </c>
      <c r="S34" s="230">
        <f t="shared" si="9"/>
        <v>0</v>
      </c>
      <c r="T34" s="230">
        <f>IF(T33="post bal.",T31,0)</f>
        <v>0</v>
      </c>
    </row>
    <row r="35" spans="1:199" s="229" customFormat="1" hidden="1">
      <c r="A35" s="228" t="s">
        <v>105</v>
      </c>
      <c r="B35" s="229">
        <f t="shared" ref="B35:S35" si="10">IF(B5="Insurance",B29,0)</f>
        <v>451.60999999999996</v>
      </c>
      <c r="C35" s="229">
        <f t="shared" si="10"/>
        <v>0</v>
      </c>
      <c r="D35" s="229">
        <f t="shared" si="10"/>
        <v>0</v>
      </c>
      <c r="E35" s="229">
        <f t="shared" si="10"/>
        <v>0</v>
      </c>
      <c r="F35" s="229">
        <f t="shared" si="10"/>
        <v>0</v>
      </c>
      <c r="G35" s="229">
        <f t="shared" si="10"/>
        <v>0</v>
      </c>
      <c r="H35" s="229">
        <f t="shared" si="10"/>
        <v>0</v>
      </c>
      <c r="I35" s="229">
        <f t="shared" si="10"/>
        <v>0</v>
      </c>
      <c r="J35" s="229">
        <f t="shared" si="10"/>
        <v>0</v>
      </c>
      <c r="K35" s="229">
        <f t="shared" si="10"/>
        <v>0</v>
      </c>
      <c r="L35" s="229">
        <f t="shared" si="10"/>
        <v>0</v>
      </c>
      <c r="M35" s="229">
        <f t="shared" si="10"/>
        <v>0</v>
      </c>
      <c r="N35" s="229">
        <f t="shared" si="10"/>
        <v>0</v>
      </c>
      <c r="O35" s="229">
        <f t="shared" si="10"/>
        <v>0</v>
      </c>
      <c r="P35" s="229">
        <f t="shared" si="10"/>
        <v>0</v>
      </c>
      <c r="Q35" s="229">
        <f t="shared" si="10"/>
        <v>0</v>
      </c>
      <c r="R35" s="229">
        <f t="shared" si="10"/>
        <v>0</v>
      </c>
      <c r="S35" s="229">
        <f t="shared" si="10"/>
        <v>0</v>
      </c>
    </row>
    <row r="36" spans="1:199" s="229" customFormat="1" hidden="1">
      <c r="A36" s="228" t="s">
        <v>207</v>
      </c>
      <c r="B36" s="229">
        <f>IF(B5="RCR",B29,0)</f>
        <v>0</v>
      </c>
      <c r="C36" s="229">
        <f t="shared" ref="C36:S36" si="11">IF(C5="RCR",C29,0)</f>
        <v>0</v>
      </c>
      <c r="D36" s="229">
        <f t="shared" si="11"/>
        <v>0</v>
      </c>
      <c r="E36" s="229">
        <f t="shared" si="11"/>
        <v>60</v>
      </c>
      <c r="F36" s="229">
        <f t="shared" si="11"/>
        <v>0</v>
      </c>
      <c r="G36" s="229">
        <f t="shared" si="11"/>
        <v>0</v>
      </c>
      <c r="H36" s="229">
        <f t="shared" si="11"/>
        <v>0</v>
      </c>
      <c r="I36" s="229">
        <f t="shared" si="11"/>
        <v>0</v>
      </c>
      <c r="J36" s="229">
        <f t="shared" si="11"/>
        <v>0</v>
      </c>
      <c r="K36" s="229">
        <f t="shared" si="11"/>
        <v>0</v>
      </c>
      <c r="L36" s="229">
        <f t="shared" si="11"/>
        <v>0</v>
      </c>
      <c r="M36" s="229">
        <f t="shared" si="11"/>
        <v>0</v>
      </c>
      <c r="N36" s="229">
        <f t="shared" si="11"/>
        <v>0</v>
      </c>
      <c r="O36" s="229">
        <f t="shared" si="11"/>
        <v>0</v>
      </c>
      <c r="P36" s="229">
        <f t="shared" si="11"/>
        <v>0</v>
      </c>
      <c r="Q36" s="229">
        <f t="shared" si="11"/>
        <v>0</v>
      </c>
      <c r="R36" s="229">
        <f t="shared" si="11"/>
        <v>0</v>
      </c>
      <c r="S36" s="229">
        <f t="shared" si="11"/>
        <v>0</v>
      </c>
    </row>
    <row r="37" spans="1:199" s="229" customFormat="1" hidden="1">
      <c r="A37" s="228" t="s">
        <v>106</v>
      </c>
      <c r="B37" s="229">
        <f t="shared" ref="B37:S37" si="12">IF(B5="Mooring",B30,0)</f>
        <v>0</v>
      </c>
      <c r="C37" s="229">
        <f t="shared" si="12"/>
        <v>0</v>
      </c>
      <c r="D37" s="229">
        <f t="shared" si="12"/>
        <v>974.04</v>
      </c>
      <c r="E37" s="229">
        <f t="shared" si="12"/>
        <v>0</v>
      </c>
      <c r="F37" s="229">
        <f t="shared" si="12"/>
        <v>0</v>
      </c>
      <c r="G37" s="229">
        <f t="shared" si="12"/>
        <v>0</v>
      </c>
      <c r="H37" s="229">
        <f t="shared" si="12"/>
        <v>0</v>
      </c>
      <c r="I37" s="229">
        <f t="shared" si="12"/>
        <v>0</v>
      </c>
      <c r="J37" s="229">
        <f t="shared" si="12"/>
        <v>0</v>
      </c>
      <c r="K37" s="229">
        <f t="shared" si="12"/>
        <v>0</v>
      </c>
      <c r="L37" s="229">
        <f t="shared" si="12"/>
        <v>0</v>
      </c>
      <c r="M37" s="229">
        <f t="shared" si="12"/>
        <v>0</v>
      </c>
      <c r="N37" s="229">
        <f t="shared" si="12"/>
        <v>0</v>
      </c>
      <c r="O37" s="229">
        <f t="shared" si="12"/>
        <v>0</v>
      </c>
      <c r="P37" s="229">
        <f t="shared" si="12"/>
        <v>0</v>
      </c>
      <c r="Q37" s="229">
        <f t="shared" si="12"/>
        <v>0</v>
      </c>
      <c r="R37" s="229">
        <f t="shared" si="12"/>
        <v>0</v>
      </c>
      <c r="S37" s="229">
        <f t="shared" si="12"/>
        <v>0</v>
      </c>
    </row>
    <row r="38" spans="1:199" s="229" customFormat="1" hidden="1">
      <c r="A38" s="228" t="s">
        <v>107</v>
      </c>
      <c r="B38" s="229">
        <f t="shared" ref="B38:S38" si="13">IF(B5="Licence",B31,0)</f>
        <v>0</v>
      </c>
      <c r="C38" s="229">
        <f t="shared" si="13"/>
        <v>1473.64</v>
      </c>
      <c r="D38" s="229">
        <f t="shared" si="13"/>
        <v>0</v>
      </c>
      <c r="E38" s="229">
        <f t="shared" si="13"/>
        <v>0</v>
      </c>
      <c r="F38" s="229">
        <f t="shared" si="13"/>
        <v>0</v>
      </c>
      <c r="G38" s="229">
        <f t="shared" si="13"/>
        <v>0</v>
      </c>
      <c r="H38" s="229">
        <f t="shared" si="13"/>
        <v>0</v>
      </c>
      <c r="I38" s="229">
        <f t="shared" si="13"/>
        <v>0</v>
      </c>
      <c r="J38" s="229">
        <f t="shared" si="13"/>
        <v>0</v>
      </c>
      <c r="K38" s="229">
        <f t="shared" si="13"/>
        <v>0</v>
      </c>
      <c r="L38" s="229">
        <f t="shared" si="13"/>
        <v>0</v>
      </c>
      <c r="M38" s="229">
        <f t="shared" si="13"/>
        <v>0</v>
      </c>
      <c r="N38" s="229">
        <f t="shared" si="13"/>
        <v>0</v>
      </c>
      <c r="O38" s="229">
        <f t="shared" si="13"/>
        <v>0</v>
      </c>
      <c r="P38" s="229">
        <f t="shared" si="13"/>
        <v>0</v>
      </c>
      <c r="Q38" s="229">
        <f t="shared" si="13"/>
        <v>0</v>
      </c>
      <c r="R38" s="229">
        <f t="shared" si="13"/>
        <v>0</v>
      </c>
      <c r="S38" s="229">
        <f t="shared" si="13"/>
        <v>0</v>
      </c>
    </row>
    <row r="39" spans="1:199" s="238" customFormat="1" ht="7.5" hidden="1" thickBot="1">
      <c r="A39" s="237" t="s">
        <v>108</v>
      </c>
      <c r="B39" s="238">
        <f t="shared" ref="B39:K39" si="14">B29-SUM(B35:B38)</f>
        <v>0</v>
      </c>
      <c r="C39" s="238">
        <f t="shared" si="14"/>
        <v>0</v>
      </c>
      <c r="D39" s="238">
        <f t="shared" si="14"/>
        <v>0</v>
      </c>
      <c r="E39" s="238">
        <f t="shared" si="14"/>
        <v>0</v>
      </c>
      <c r="F39" s="238">
        <f t="shared" si="14"/>
        <v>0</v>
      </c>
      <c r="G39" s="238">
        <f t="shared" si="14"/>
        <v>0</v>
      </c>
      <c r="H39" s="238">
        <f t="shared" si="14"/>
        <v>0</v>
      </c>
      <c r="I39" s="238">
        <f t="shared" si="14"/>
        <v>0</v>
      </c>
      <c r="J39" s="238">
        <f t="shared" si="14"/>
        <v>0</v>
      </c>
      <c r="K39" s="238">
        <f t="shared" si="14"/>
        <v>0</v>
      </c>
      <c r="L39" s="238">
        <f t="shared" ref="L39:S39" si="15">L29-SUM(L35:L38)</f>
        <v>0</v>
      </c>
      <c r="M39" s="238">
        <f t="shared" si="15"/>
        <v>0</v>
      </c>
      <c r="N39" s="238">
        <f t="shared" si="15"/>
        <v>0</v>
      </c>
      <c r="O39" s="238">
        <f t="shared" si="15"/>
        <v>0</v>
      </c>
      <c r="P39" s="238">
        <f t="shared" si="15"/>
        <v>0</v>
      </c>
      <c r="Q39" s="238">
        <f t="shared" si="15"/>
        <v>297</v>
      </c>
      <c r="R39" s="238">
        <f t="shared" si="15"/>
        <v>14.15</v>
      </c>
      <c r="S39" s="238">
        <f t="shared" si="15"/>
        <v>342</v>
      </c>
    </row>
    <row r="40" spans="1:199" ht="8" thickTop="1" thickBot="1">
      <c r="H40" t="s">
        <v>150</v>
      </c>
      <c r="K40" t="s">
        <v>150</v>
      </c>
    </row>
    <row r="41" spans="1:199" ht="11.5" thickTop="1" thickBot="1">
      <c r="A41" s="11" t="s">
        <v>133</v>
      </c>
      <c r="U41" s="195"/>
    </row>
    <row r="42" spans="1:199" ht="7.5" thickTop="1">
      <c r="A42" s="78" t="s">
        <v>68</v>
      </c>
      <c r="B42" s="436" t="s">
        <v>237</v>
      </c>
      <c r="C42" s="436" t="s">
        <v>144</v>
      </c>
      <c r="D42" s="436" t="s">
        <v>144</v>
      </c>
      <c r="E42" s="436" t="s">
        <v>236</v>
      </c>
      <c r="F42" s="436" t="s">
        <v>144</v>
      </c>
      <c r="G42" s="436" t="s">
        <v>144</v>
      </c>
      <c r="H42" s="436" t="s">
        <v>144</v>
      </c>
      <c r="I42" s="436" t="s">
        <v>144</v>
      </c>
      <c r="J42" s="436" t="s">
        <v>144</v>
      </c>
      <c r="K42" s="436" t="s">
        <v>144</v>
      </c>
      <c r="L42" s="436" t="s">
        <v>144</v>
      </c>
      <c r="M42" s="436" t="s">
        <v>144</v>
      </c>
      <c r="N42" s="436" t="s">
        <v>238</v>
      </c>
      <c r="O42" s="436" t="s">
        <v>144</v>
      </c>
      <c r="P42" s="436" t="s">
        <v>144</v>
      </c>
      <c r="Q42" s="436" t="s">
        <v>144</v>
      </c>
      <c r="R42" s="436" t="s">
        <v>144</v>
      </c>
      <c r="S42" s="436" t="s">
        <v>144</v>
      </c>
      <c r="T42" s="14"/>
      <c r="U42" s="14"/>
    </row>
    <row r="43" spans="1:199">
      <c r="A43" s="7" t="s">
        <v>69</v>
      </c>
      <c r="B43" s="79">
        <f>Summary!E1</f>
        <v>45414</v>
      </c>
      <c r="C43" s="77">
        <f>B43+7</f>
        <v>45421</v>
      </c>
      <c r="D43" s="77">
        <f>C43+7</f>
        <v>45428</v>
      </c>
      <c r="E43" s="77">
        <f>D43+7</f>
        <v>45435</v>
      </c>
      <c r="F43" s="77">
        <f t="shared" ref="F43:S43" si="16">E43+7</f>
        <v>45442</v>
      </c>
      <c r="G43" s="77">
        <f t="shared" si="16"/>
        <v>45449</v>
      </c>
      <c r="H43" s="77">
        <f t="shared" si="16"/>
        <v>45456</v>
      </c>
      <c r="I43" s="77">
        <f t="shared" si="16"/>
        <v>45463</v>
      </c>
      <c r="J43" s="77">
        <f t="shared" si="16"/>
        <v>45470</v>
      </c>
      <c r="K43" s="77">
        <f t="shared" si="16"/>
        <v>45477</v>
      </c>
      <c r="L43" s="77">
        <f t="shared" si="16"/>
        <v>45484</v>
      </c>
      <c r="M43" s="77">
        <f t="shared" si="16"/>
        <v>45491</v>
      </c>
      <c r="N43" s="77">
        <f t="shared" si="16"/>
        <v>45498</v>
      </c>
      <c r="O43" s="77">
        <f t="shared" si="16"/>
        <v>45505</v>
      </c>
      <c r="P43" s="77">
        <f t="shared" si="16"/>
        <v>45512</v>
      </c>
      <c r="Q43" s="77">
        <f t="shared" si="16"/>
        <v>45519</v>
      </c>
      <c r="R43" s="77">
        <f t="shared" si="16"/>
        <v>45526</v>
      </c>
      <c r="S43" s="77">
        <f t="shared" si="16"/>
        <v>45533</v>
      </c>
      <c r="T43" s="80"/>
      <c r="U43" s="80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</row>
    <row r="44" spans="1:199" s="14" customFormat="1">
      <c r="A44" s="185" t="s">
        <v>12</v>
      </c>
      <c r="B44" s="291">
        <v>3</v>
      </c>
      <c r="C44" s="290"/>
      <c r="D44" s="290"/>
      <c r="E44" s="290">
        <v>4</v>
      </c>
      <c r="F44" s="290"/>
      <c r="G44" s="290"/>
      <c r="H44" s="290"/>
      <c r="I44" s="290"/>
      <c r="J44" s="290"/>
      <c r="K44" s="290"/>
      <c r="L44" s="290"/>
      <c r="M44" s="290"/>
      <c r="N44" s="290">
        <v>6</v>
      </c>
      <c r="O44" s="290"/>
      <c r="P44" s="290"/>
      <c r="Q44" s="290"/>
      <c r="R44" s="290"/>
      <c r="S44" s="290"/>
      <c r="T44" s="80"/>
      <c r="U44" s="178"/>
    </row>
    <row r="45" spans="1:199" s="178" customFormat="1" ht="7.5" thickBot="1">
      <c r="A45" s="187" t="s">
        <v>13</v>
      </c>
      <c r="B45" s="294">
        <v>3</v>
      </c>
      <c r="C45" s="293"/>
      <c r="D45" s="293"/>
      <c r="E45" s="293">
        <v>14</v>
      </c>
      <c r="F45" s="293"/>
      <c r="G45" s="293"/>
      <c r="H45" s="293"/>
      <c r="I45" s="293"/>
      <c r="J45" s="293"/>
      <c r="K45" s="293"/>
      <c r="L45" s="293"/>
      <c r="M45" s="293"/>
      <c r="N45" s="293">
        <v>9</v>
      </c>
      <c r="O45" s="293"/>
      <c r="P45" s="293"/>
      <c r="Q45" s="293"/>
      <c r="R45" s="293"/>
      <c r="S45" s="293"/>
    </row>
    <row r="46" spans="1:199" s="241" customFormat="1" ht="7.5" hidden="1" thickTop="1">
      <c r="A46" s="239" t="s">
        <v>111</v>
      </c>
      <c r="B46" s="240">
        <f>IF(OR(ISTEXT(B43),B43=0),Summary!$E$1-7,B43-MOD(B43-Summary!$E$1,7))</f>
        <v>45414</v>
      </c>
      <c r="C46" s="240">
        <f>IF(OR(ISTEXT(C43),C43=0),Summary!$E$1-7,C43-MOD(C43-Summary!$E$1,7))</f>
        <v>45421</v>
      </c>
      <c r="D46" s="240">
        <f>IF(OR(ISTEXT(D43),D43=0),Summary!$E$1-7,D43-MOD(D43-Summary!$E$1,7))</f>
        <v>45428</v>
      </c>
      <c r="E46" s="240">
        <f>IF(OR(ISTEXT(E43),E43=0),Summary!$E$1-7,E43-MOD(E43-Summary!$E$1,7))</f>
        <v>45435</v>
      </c>
      <c r="F46" s="240">
        <f>IF(OR(ISTEXT(F43),F43=0),Summary!$E$1-7,F43-MOD(F43-Summary!$E$1,7))</f>
        <v>45442</v>
      </c>
      <c r="G46" s="240">
        <f>IF(OR(ISTEXT(G43),G43=0),Summary!$E$1-7,G43-MOD(G43-Summary!$E$1,7))</f>
        <v>45449</v>
      </c>
      <c r="H46" s="240">
        <f>IF(OR(ISTEXT(H43),H43=0),Summary!$E$1-7,H43-MOD(H43-Summary!$E$1,7))</f>
        <v>45456</v>
      </c>
      <c r="I46" s="240">
        <f>IF(OR(ISTEXT(I43),I43=0),Summary!$E$1-7,I43-MOD(I43-Summary!$E$1,7))</f>
        <v>45463</v>
      </c>
      <c r="J46" s="240">
        <f>IF(OR(ISTEXT(J43),J43=0),Summary!$E$1-7,J43-MOD(J43-Summary!$E$1,7))</f>
        <v>45470</v>
      </c>
      <c r="K46" s="240">
        <f>IF(OR(ISTEXT(K43),K43=0),Summary!$E$1-7,K43-MOD(K43-Summary!$E$1,7))</f>
        <v>45477</v>
      </c>
      <c r="L46" s="240">
        <f>IF(OR(ISTEXT(L43),L43=0),Summary!$E$1-7,L43-MOD(L43-Summary!$E$1,7))</f>
        <v>45484</v>
      </c>
      <c r="M46" s="240">
        <f>IF(OR(ISTEXT(M43),M43=0),Summary!$E$1-7,M43-MOD(M43-Summary!$E$1,7))</f>
        <v>45491</v>
      </c>
      <c r="N46" s="240">
        <f>IF(OR(ISTEXT(N43),N43=0),Summary!$E$1-7,N43-MOD(N43-Summary!$E$1,7))</f>
        <v>45498</v>
      </c>
      <c r="O46" s="240">
        <f>IF(OR(ISTEXT(O43),O43=0),Summary!$E$1-7,O43-MOD(O43-Summary!$E$1,7))</f>
        <v>45505</v>
      </c>
      <c r="P46" s="240">
        <f>IF(OR(ISTEXT(P43),P43=0),Summary!$E$1-7,P43-MOD(P43-Summary!$E$1,7))</f>
        <v>45512</v>
      </c>
      <c r="Q46" s="240">
        <f>IF(OR(ISTEXT(Q43),Q43=0),Summary!$E$1-7,Q43-MOD(Q43-Summary!$E$1,7))</f>
        <v>45519</v>
      </c>
      <c r="R46" s="240">
        <f>IF(OR(ISTEXT(R43),R43=0),Summary!$E$1-7,R43-MOD(R43-Summary!$E$1,7))</f>
        <v>45526</v>
      </c>
      <c r="S46" s="240">
        <f>IF(OR(ISTEXT(S43),S43=0),Summary!$E$1-7,S43-MOD(S43-Summary!$E$1,7))</f>
        <v>45533</v>
      </c>
    </row>
    <row r="47" spans="1:199" s="241" customFormat="1" hidden="1">
      <c r="A47" s="233" t="s">
        <v>121</v>
      </c>
      <c r="B47" s="282">
        <f>IF(B44=0,0,1)</f>
        <v>1</v>
      </c>
      <c r="C47" s="284">
        <f t="shared" ref="C47:S47" si="17">IF(C44=0,0,1)</f>
        <v>0</v>
      </c>
      <c r="D47" s="284">
        <f t="shared" si="17"/>
        <v>0</v>
      </c>
      <c r="E47" s="284">
        <f t="shared" si="17"/>
        <v>1</v>
      </c>
      <c r="F47" s="284">
        <f t="shared" si="17"/>
        <v>0</v>
      </c>
      <c r="G47" s="284">
        <f t="shared" si="17"/>
        <v>0</v>
      </c>
      <c r="H47" s="284">
        <f t="shared" si="17"/>
        <v>0</v>
      </c>
      <c r="I47" s="284">
        <f t="shared" si="17"/>
        <v>0</v>
      </c>
      <c r="J47" s="284">
        <f t="shared" si="17"/>
        <v>0</v>
      </c>
      <c r="K47" s="284">
        <f t="shared" si="17"/>
        <v>0</v>
      </c>
      <c r="L47" s="284">
        <f t="shared" si="17"/>
        <v>0</v>
      </c>
      <c r="M47" s="284">
        <f t="shared" si="17"/>
        <v>0</v>
      </c>
      <c r="N47" s="284">
        <f t="shared" si="17"/>
        <v>1</v>
      </c>
      <c r="O47" s="284">
        <f t="shared" si="17"/>
        <v>0</v>
      </c>
      <c r="P47" s="284">
        <f t="shared" si="17"/>
        <v>0</v>
      </c>
      <c r="Q47" s="284">
        <f t="shared" si="17"/>
        <v>0</v>
      </c>
      <c r="R47" s="284">
        <f t="shared" si="17"/>
        <v>0</v>
      </c>
      <c r="S47" s="284">
        <f t="shared" si="17"/>
        <v>0</v>
      </c>
    </row>
    <row r="48" spans="1:199" s="231" customFormat="1" hidden="1">
      <c r="A48" s="233" t="s">
        <v>122</v>
      </c>
      <c r="B48" s="282">
        <f>IF(B44&gt;0,IF(B46=S9,S11,S11+1),S11)</f>
        <v>1</v>
      </c>
      <c r="C48" s="284">
        <f>IF(C44&gt;0,IF(C46=B46,B48,B48+1),B48)</f>
        <v>1</v>
      </c>
      <c r="D48" s="284">
        <f t="shared" ref="D48:S48" si="18">IF(D44&gt;0,IF(D46=C46,C48,C48+1),C48)</f>
        <v>1</v>
      </c>
      <c r="E48" s="284">
        <f t="shared" si="18"/>
        <v>2</v>
      </c>
      <c r="F48" s="284">
        <f t="shared" si="18"/>
        <v>2</v>
      </c>
      <c r="G48" s="284">
        <f t="shared" si="18"/>
        <v>2</v>
      </c>
      <c r="H48" s="284">
        <f t="shared" si="18"/>
        <v>2</v>
      </c>
      <c r="I48" s="284">
        <f t="shared" si="18"/>
        <v>2</v>
      </c>
      <c r="J48" s="284">
        <f t="shared" si="18"/>
        <v>2</v>
      </c>
      <c r="K48" s="284">
        <f t="shared" si="18"/>
        <v>2</v>
      </c>
      <c r="L48" s="284">
        <f t="shared" si="18"/>
        <v>2</v>
      </c>
      <c r="M48" s="284">
        <f t="shared" si="18"/>
        <v>2</v>
      </c>
      <c r="N48" s="284">
        <f t="shared" si="18"/>
        <v>3</v>
      </c>
      <c r="O48" s="284">
        <f t="shared" si="18"/>
        <v>3</v>
      </c>
      <c r="P48" s="284">
        <f t="shared" si="18"/>
        <v>3</v>
      </c>
      <c r="Q48" s="284">
        <f t="shared" si="18"/>
        <v>3</v>
      </c>
      <c r="R48" s="284">
        <f t="shared" si="18"/>
        <v>3</v>
      </c>
      <c r="S48" s="284">
        <f t="shared" si="18"/>
        <v>3</v>
      </c>
    </row>
    <row r="49" spans="1:22" s="231" customFormat="1" ht="7.5" hidden="1" thickBot="1">
      <c r="A49" s="233" t="s">
        <v>110</v>
      </c>
      <c r="B49" s="232">
        <f>IF(AND(B46&gt;Summary!$E$1-7,B46&lt;DATE(Summary!$B$1,10,31)),1,0)</f>
        <v>1</v>
      </c>
      <c r="C49" s="232">
        <f>IF(AND(C46&gt;Summary!$E$1-7,C46&lt;DATE(Summary!$B$1,10,31)),1,0)</f>
        <v>1</v>
      </c>
      <c r="D49" s="232">
        <f>IF(AND(D46&gt;Summary!$E$1-7,D46&lt;DATE(Summary!$B$1,10,31)),1,0)</f>
        <v>1</v>
      </c>
      <c r="E49" s="232">
        <f>IF(AND(E46&gt;Summary!$E$1-7,E46&lt;DATE(Summary!$B$1,10,31)),1,0)</f>
        <v>1</v>
      </c>
      <c r="F49" s="232">
        <f>IF(AND(F46&gt;Summary!$E$1-7,F46&lt;DATE(Summary!$B$1,10,31)),1,0)</f>
        <v>1</v>
      </c>
      <c r="G49" s="232">
        <f>IF(AND(G46&gt;Summary!$E$1-7,G46&lt;DATE(Summary!$B$1,10,31)),1,0)</f>
        <v>1</v>
      </c>
      <c r="H49" s="232">
        <f>IF(AND(H46&gt;Summary!$E$1-7,H46&lt;DATE(Summary!$B$1,10,31)),1,0)</f>
        <v>1</v>
      </c>
      <c r="I49" s="232">
        <f>IF(AND(I46&gt;Summary!$E$1-7,I46&lt;DATE(Summary!$B$1,10,31)),1,0)</f>
        <v>1</v>
      </c>
      <c r="J49" s="232">
        <f>IF(AND(J46&gt;Summary!$E$1-7,J46&lt;DATE(Summary!$B$1,10,31)),1,0)</f>
        <v>1</v>
      </c>
      <c r="K49" s="232">
        <f>IF(AND(K46&gt;Summary!$E$1-7,K46&lt;DATE(Summary!$B$1,10,31)),1,0)</f>
        <v>1</v>
      </c>
      <c r="L49" s="232">
        <f>IF(AND(L46&gt;Summary!$E$1-7,L46&lt;DATE(Summary!$B$1,10,31)),1,0)</f>
        <v>1</v>
      </c>
      <c r="M49" s="232">
        <f>IF(AND(M46&gt;Summary!$E$1-7,M46&lt;DATE(Summary!$B$1,10,31)),1,0)</f>
        <v>1</v>
      </c>
      <c r="N49" s="232">
        <f>IF(AND(N46&gt;Summary!$E$1-7,N46&lt;DATE(Summary!$B$1,10,31)),1,0)</f>
        <v>1</v>
      </c>
      <c r="O49" s="232">
        <f>IF(AND(O46&gt;Summary!$E$1-7,O46&lt;DATE(Summary!$B$1,10,31)),1,0)</f>
        <v>1</v>
      </c>
      <c r="P49" s="232">
        <f>IF(AND(P46&gt;Summary!$E$1-7,P46&lt;DATE(Summary!$B$1,10,31)),1,0)</f>
        <v>1</v>
      </c>
      <c r="Q49" s="232">
        <f>IF(AND(Q46&gt;Summary!$E$1-7,Q46&lt;DATE(Summary!$B$1,10,31)),1,0)</f>
        <v>1</v>
      </c>
      <c r="R49" s="232">
        <f>IF(AND(R46&gt;Summary!$E$1-7,R46&lt;DATE(Summary!$B$1,10,31)),1,0)</f>
        <v>1</v>
      </c>
      <c r="S49" s="232">
        <f>IF(AND(S46&gt;Summary!$E$1-7,S46&lt;DATE(Summary!$B$1,10,31)),1,0)</f>
        <v>1</v>
      </c>
    </row>
    <row r="50" spans="1:22" s="43" customFormat="1" ht="11.5" thickTop="1" thickBot="1">
      <c r="A50" s="62" t="s">
        <v>14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"/>
      <c r="U50" s="1"/>
    </row>
    <row r="51" spans="1:22" s="43" customFormat="1" ht="7.5" thickTop="1">
      <c r="A51" s="47" t="s">
        <v>23</v>
      </c>
      <c r="B51" s="297">
        <v>35</v>
      </c>
      <c r="C51" s="296"/>
      <c r="D51" s="296"/>
      <c r="E51" s="296">
        <v>35</v>
      </c>
      <c r="F51" s="296"/>
      <c r="G51" s="296"/>
      <c r="H51" s="296"/>
      <c r="I51" s="296"/>
      <c r="J51" s="296"/>
      <c r="K51" s="296"/>
      <c r="L51" s="296"/>
      <c r="M51" s="296"/>
      <c r="N51" s="296">
        <v>35</v>
      </c>
      <c r="O51" s="296"/>
      <c r="P51" s="296"/>
      <c r="Q51" s="296"/>
      <c r="R51" s="296"/>
      <c r="S51" s="296"/>
    </row>
    <row r="52" spans="1:22" s="43" customFormat="1">
      <c r="A52" s="50" t="s">
        <v>24</v>
      </c>
      <c r="B52" s="300">
        <v>90</v>
      </c>
      <c r="C52" s="299"/>
      <c r="D52" s="299"/>
      <c r="E52" s="299">
        <v>120</v>
      </c>
      <c r="F52" s="299"/>
      <c r="G52" s="299"/>
      <c r="H52" s="299"/>
      <c r="I52" s="299"/>
      <c r="J52" s="299"/>
      <c r="K52" s="299"/>
      <c r="L52" s="299"/>
      <c r="M52" s="299"/>
      <c r="N52" s="299">
        <v>150</v>
      </c>
      <c r="O52" s="299"/>
      <c r="P52" s="299"/>
      <c r="Q52" s="299"/>
      <c r="R52" s="299"/>
      <c r="S52" s="299"/>
    </row>
    <row r="53" spans="1:22" s="43" customFormat="1" ht="7.5" thickBot="1">
      <c r="A53" s="100" t="s">
        <v>27</v>
      </c>
      <c r="B53" s="303">
        <v>75</v>
      </c>
      <c r="C53" s="302"/>
      <c r="D53" s="302"/>
      <c r="E53" s="302">
        <v>350</v>
      </c>
      <c r="F53" s="302"/>
      <c r="G53" s="302"/>
      <c r="H53" s="302"/>
      <c r="I53" s="302"/>
      <c r="J53" s="302"/>
      <c r="K53" s="302"/>
      <c r="L53" s="302"/>
      <c r="M53" s="302"/>
      <c r="N53" s="302">
        <v>225</v>
      </c>
      <c r="O53" s="302"/>
      <c r="P53" s="302"/>
      <c r="Q53" s="302"/>
      <c r="R53" s="302"/>
      <c r="S53" s="302"/>
    </row>
    <row r="54" spans="1:22" s="43" customFormat="1" ht="11.5" thickTop="1" thickBot="1">
      <c r="A54" s="103" t="s">
        <v>70</v>
      </c>
      <c r="B54" s="63">
        <f>SUM(B51:B53)</f>
        <v>200</v>
      </c>
      <c r="C54" s="66">
        <f>SUM(C51:C53)</f>
        <v>0</v>
      </c>
      <c r="D54" s="66">
        <f>SUM(D51:D53)</f>
        <v>0</v>
      </c>
      <c r="E54" s="66">
        <f>SUM(E51:E53)</f>
        <v>505</v>
      </c>
      <c r="F54" s="66">
        <f t="shared" ref="F54:S54" si="19">SUM(F51:F53)</f>
        <v>0</v>
      </c>
      <c r="G54" s="66">
        <f t="shared" si="19"/>
        <v>0</v>
      </c>
      <c r="H54" s="66">
        <f t="shared" si="19"/>
        <v>0</v>
      </c>
      <c r="I54" s="66">
        <f t="shared" si="19"/>
        <v>0</v>
      </c>
      <c r="J54" s="66">
        <f t="shared" si="19"/>
        <v>0</v>
      </c>
      <c r="K54" s="66">
        <f t="shared" si="19"/>
        <v>0</v>
      </c>
      <c r="L54" s="66">
        <f t="shared" si="19"/>
        <v>0</v>
      </c>
      <c r="M54" s="66">
        <f t="shared" si="19"/>
        <v>0</v>
      </c>
      <c r="N54" s="66">
        <f t="shared" si="19"/>
        <v>410</v>
      </c>
      <c r="O54" s="66">
        <f t="shared" si="19"/>
        <v>0</v>
      </c>
      <c r="P54" s="66">
        <f t="shared" si="19"/>
        <v>0</v>
      </c>
      <c r="Q54" s="66">
        <f t="shared" si="19"/>
        <v>0</v>
      </c>
      <c r="R54" s="66">
        <f t="shared" si="19"/>
        <v>0</v>
      </c>
      <c r="S54" s="66">
        <f t="shared" si="19"/>
        <v>0</v>
      </c>
    </row>
    <row r="55" spans="1:22" s="43" customFormat="1" ht="11.5" thickTop="1" thickBot="1">
      <c r="A55" s="255" t="s">
        <v>72</v>
      </c>
      <c r="B55" s="256" t="str">
        <f t="shared" ref="B55:S55" ca="1" si="20">IF(OR(LEFT(B42,2)="un",LEFT(B42,1)="(",B54&lt;&gt;0,B68&lt;&gt;0, B42="",B43&gt;NOW()),"","Acct Due")</f>
        <v/>
      </c>
      <c r="C55" s="256" t="str">
        <f t="shared" ca="1" si="20"/>
        <v/>
      </c>
      <c r="D55" s="256" t="str">
        <f t="shared" ca="1" si="20"/>
        <v/>
      </c>
      <c r="E55" s="256" t="str">
        <f t="shared" ca="1" si="20"/>
        <v/>
      </c>
      <c r="F55" s="256" t="str">
        <f t="shared" ca="1" si="20"/>
        <v/>
      </c>
      <c r="G55" s="256" t="str">
        <f t="shared" ca="1" si="20"/>
        <v/>
      </c>
      <c r="H55" s="256" t="str">
        <f t="shared" ca="1" si="20"/>
        <v/>
      </c>
      <c r="I55" s="256" t="str">
        <f t="shared" ca="1" si="20"/>
        <v/>
      </c>
      <c r="J55" s="256" t="str">
        <f t="shared" ca="1" si="20"/>
        <v/>
      </c>
      <c r="K55" s="256" t="str">
        <f t="shared" ca="1" si="20"/>
        <v/>
      </c>
      <c r="L55" s="256" t="str">
        <f t="shared" ca="1" si="20"/>
        <v/>
      </c>
      <c r="M55" s="256" t="str">
        <f t="shared" ca="1" si="20"/>
        <v/>
      </c>
      <c r="N55" s="256" t="str">
        <f t="shared" ca="1" si="20"/>
        <v/>
      </c>
      <c r="O55" s="256" t="str">
        <f t="shared" ca="1" si="20"/>
        <v/>
      </c>
      <c r="P55" s="256" t="str">
        <f t="shared" ca="1" si="20"/>
        <v/>
      </c>
      <c r="Q55" s="256" t="str">
        <f t="shared" ca="1" si="20"/>
        <v/>
      </c>
      <c r="R55" s="256" t="str">
        <f t="shared" ca="1" si="20"/>
        <v/>
      </c>
      <c r="S55" s="256" t="str">
        <f t="shared" ca="1" si="20"/>
        <v/>
      </c>
      <c r="V55" s="664"/>
    </row>
    <row r="56" spans="1:22" s="43" customFormat="1" ht="7.5" thickTop="1">
      <c r="A56" s="47" t="s">
        <v>37</v>
      </c>
      <c r="B56" s="297"/>
      <c r="C56" s="296"/>
      <c r="D56" s="296"/>
      <c r="E56" s="296">
        <v>56.5</v>
      </c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</row>
    <row r="57" spans="1:22" s="43" customFormat="1">
      <c r="A57" s="50" t="s">
        <v>38</v>
      </c>
      <c r="B57" s="300"/>
      <c r="C57" s="299"/>
      <c r="D57" s="299"/>
      <c r="E57" s="299"/>
      <c r="F57" s="299"/>
      <c r="G57" s="299"/>
      <c r="H57" s="299"/>
      <c r="I57" s="299"/>
      <c r="J57" s="299"/>
      <c r="K57" s="299"/>
      <c r="L57" s="299"/>
      <c r="M57" s="299"/>
      <c r="N57" s="299"/>
      <c r="O57" s="299"/>
      <c r="P57" s="299"/>
      <c r="Q57" s="299"/>
      <c r="R57" s="299"/>
      <c r="S57" s="299"/>
    </row>
    <row r="58" spans="1:22" s="43" customFormat="1">
      <c r="A58" s="50" t="s">
        <v>39</v>
      </c>
      <c r="B58" s="300"/>
      <c r="C58" s="299"/>
      <c r="D58" s="299"/>
      <c r="E58" s="299"/>
      <c r="F58" s="299"/>
      <c r="G58" s="299"/>
      <c r="H58" s="299"/>
      <c r="I58" s="299"/>
      <c r="J58" s="299"/>
      <c r="K58" s="299"/>
      <c r="L58" s="299"/>
      <c r="M58" s="299"/>
      <c r="N58" s="299"/>
      <c r="O58" s="299"/>
      <c r="P58" s="299"/>
      <c r="Q58" s="299"/>
      <c r="R58" s="299"/>
      <c r="S58" s="299"/>
    </row>
    <row r="59" spans="1:22" s="43" customFormat="1">
      <c r="A59" s="52" t="s">
        <v>41</v>
      </c>
      <c r="B59" s="92">
        <f>+'OTHER COSTS'!T82</f>
        <v>0</v>
      </c>
      <c r="C59" s="92">
        <f>+'OTHER COSTS'!U82</f>
        <v>0</v>
      </c>
      <c r="D59" s="92">
        <f>+'OTHER COSTS'!V82</f>
        <v>0</v>
      </c>
      <c r="E59" s="92">
        <f>+'OTHER COSTS'!W82</f>
        <v>0</v>
      </c>
      <c r="F59" s="92">
        <f>+'OTHER COSTS'!X82</f>
        <v>0</v>
      </c>
      <c r="G59" s="92">
        <f>+'OTHER COSTS'!Y82</f>
        <v>0</v>
      </c>
      <c r="H59" s="92">
        <f>+'OTHER COSTS'!Z82</f>
        <v>0</v>
      </c>
      <c r="I59" s="92">
        <f>+'OTHER COSTS'!AA82</f>
        <v>0</v>
      </c>
      <c r="J59" s="92">
        <f>+'OTHER COSTS'!AB82</f>
        <v>0</v>
      </c>
      <c r="K59" s="92">
        <f>+'OTHER COSTS'!AC82</f>
        <v>0</v>
      </c>
      <c r="L59" s="92">
        <f>+'OTHER COSTS'!AD82</f>
        <v>0</v>
      </c>
      <c r="M59" s="92">
        <f>+'OTHER COSTS'!AE82</f>
        <v>0</v>
      </c>
      <c r="N59" s="92">
        <f>+'OTHER COSTS'!AF82</f>
        <v>0</v>
      </c>
      <c r="O59" s="92">
        <f>+'OTHER COSTS'!AG82</f>
        <v>0</v>
      </c>
      <c r="P59" s="92">
        <f>+'OTHER COSTS'!AH82</f>
        <v>0</v>
      </c>
      <c r="Q59" s="92">
        <f>+'OTHER COSTS'!AI82</f>
        <v>0</v>
      </c>
      <c r="R59" s="92">
        <f>+'OTHER COSTS'!AJ82</f>
        <v>0</v>
      </c>
      <c r="S59" s="92">
        <f>+'OTHER COSTS'!AK82</f>
        <v>0</v>
      </c>
    </row>
    <row r="60" spans="1:22" s="43" customFormat="1">
      <c r="A60" s="82" t="s">
        <v>42</v>
      </c>
      <c r="B60" s="64">
        <f>SUM(B56:B59)</f>
        <v>0</v>
      </c>
      <c r="C60" s="42">
        <f>SUM(C56:C59)</f>
        <v>0</v>
      </c>
      <c r="D60" s="42">
        <f>SUM(D56:D59)</f>
        <v>0</v>
      </c>
      <c r="E60" s="42">
        <f>SUM(E56:E59)</f>
        <v>56.5</v>
      </c>
      <c r="F60" s="42">
        <f t="shared" ref="F60:S60" si="21">SUM(F56:F59)</f>
        <v>0</v>
      </c>
      <c r="G60" s="42">
        <f>SUM(G57:G59)</f>
        <v>0</v>
      </c>
      <c r="H60" s="42">
        <f t="shared" si="21"/>
        <v>0</v>
      </c>
      <c r="I60" s="42">
        <f t="shared" si="21"/>
        <v>0</v>
      </c>
      <c r="J60" s="42">
        <f t="shared" si="21"/>
        <v>0</v>
      </c>
      <c r="K60" s="42">
        <f t="shared" si="21"/>
        <v>0</v>
      </c>
      <c r="L60" s="42">
        <f t="shared" si="21"/>
        <v>0</v>
      </c>
      <c r="M60" s="42">
        <f t="shared" si="21"/>
        <v>0</v>
      </c>
      <c r="N60" s="42">
        <f t="shared" si="21"/>
        <v>0</v>
      </c>
      <c r="O60" s="42">
        <f t="shared" si="21"/>
        <v>0</v>
      </c>
      <c r="P60" s="42">
        <f t="shared" si="21"/>
        <v>0</v>
      </c>
      <c r="Q60" s="42">
        <f t="shared" si="21"/>
        <v>0</v>
      </c>
      <c r="R60" s="42">
        <f t="shared" si="21"/>
        <v>0</v>
      </c>
      <c r="S60" s="42">
        <f t="shared" si="21"/>
        <v>0</v>
      </c>
    </row>
    <row r="61" spans="1:22" s="43" customFormat="1" ht="7.5" thickBot="1">
      <c r="A61" s="83" t="s">
        <v>83</v>
      </c>
      <c r="B61" s="306"/>
      <c r="C61" s="306"/>
      <c r="D61" s="306"/>
      <c r="E61" s="306">
        <v>27.5</v>
      </c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</row>
    <row r="62" spans="1:22" s="43" customFormat="1" ht="11.5" thickTop="1" thickBot="1">
      <c r="A62" s="84" t="s">
        <v>73</v>
      </c>
      <c r="B62" s="102"/>
      <c r="C62" s="73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438" t="s">
        <v>150</v>
      </c>
      <c r="R62" s="102"/>
      <c r="S62" s="102"/>
    </row>
    <row r="63" spans="1:22" s="43" customFormat="1" ht="7.5" thickTop="1">
      <c r="A63" s="47" t="s">
        <v>47</v>
      </c>
      <c r="B63" s="65">
        <f>MAINTENANCE!U56</f>
        <v>0</v>
      </c>
      <c r="C63" s="65">
        <f>MAINTENANCE!V56</f>
        <v>0</v>
      </c>
      <c r="D63" s="65">
        <f>MAINTENANCE!W56</f>
        <v>0</v>
      </c>
      <c r="E63" s="65">
        <f>MAINTENANCE!X56</f>
        <v>0</v>
      </c>
      <c r="F63" s="65">
        <f>MAINTENANCE!Y56</f>
        <v>0</v>
      </c>
      <c r="G63" s="65">
        <f>MAINTENANCE!Z56</f>
        <v>0</v>
      </c>
      <c r="H63" s="65">
        <f>MAINTENANCE!AA56</f>
        <v>0</v>
      </c>
      <c r="I63" s="65">
        <f>MAINTENANCE!AB56</f>
        <v>0</v>
      </c>
      <c r="J63" s="65">
        <f>MAINTENANCE!AC56</f>
        <v>0</v>
      </c>
      <c r="K63" s="65">
        <f>MAINTENANCE!AD56</f>
        <v>0</v>
      </c>
      <c r="L63" s="65">
        <f>MAINTENANCE!AE56</f>
        <v>0</v>
      </c>
      <c r="M63" s="65">
        <f>MAINTENANCE!AF56</f>
        <v>0</v>
      </c>
      <c r="N63" s="65">
        <f>MAINTENANCE!AG56</f>
        <v>0</v>
      </c>
      <c r="O63" s="65">
        <f>MAINTENANCE!AH56</f>
        <v>0</v>
      </c>
      <c r="P63" s="65">
        <f>MAINTENANCE!AI56</f>
        <v>0</v>
      </c>
      <c r="Q63" s="65">
        <f>MAINTENANCE!AJ56</f>
        <v>0</v>
      </c>
      <c r="R63" s="65">
        <f>MAINTENANCE!AK56</f>
        <v>0</v>
      </c>
      <c r="S63" s="65">
        <f>MAINTENANCE!AL56</f>
        <v>0</v>
      </c>
    </row>
    <row r="64" spans="1:22" s="43" customFormat="1">
      <c r="A64" s="50" t="s">
        <v>113</v>
      </c>
      <c r="B64" s="63">
        <f>'OTHER COSTS'!T38+'OTHER COSTS'!T45</f>
        <v>0</v>
      </c>
      <c r="C64" s="63">
        <f>'OTHER COSTS'!U38+'OTHER COSTS'!U45</f>
        <v>0</v>
      </c>
      <c r="D64" s="63">
        <f>'OTHER COSTS'!V38+'OTHER COSTS'!V45</f>
        <v>0</v>
      </c>
      <c r="E64" s="63">
        <f>'OTHER COSTS'!W38+'OTHER COSTS'!W45</f>
        <v>0</v>
      </c>
      <c r="F64" s="63">
        <f>'OTHER COSTS'!X38+'OTHER COSTS'!X45</f>
        <v>0</v>
      </c>
      <c r="G64" s="63">
        <f>'OTHER COSTS'!Y38+'OTHER COSTS'!Y45</f>
        <v>0</v>
      </c>
      <c r="H64" s="63">
        <f>'OTHER COSTS'!Z38+'OTHER COSTS'!Z45</f>
        <v>0</v>
      </c>
      <c r="I64" s="63">
        <f>'OTHER COSTS'!AA38+'OTHER COSTS'!AA45</f>
        <v>0</v>
      </c>
      <c r="J64" s="63">
        <f>'OTHER COSTS'!AB38+'OTHER COSTS'!AB45</f>
        <v>0</v>
      </c>
      <c r="K64" s="63">
        <f>'OTHER COSTS'!AC38+'OTHER COSTS'!AC45</f>
        <v>0</v>
      </c>
      <c r="L64" s="63">
        <f>'OTHER COSTS'!AD38+'OTHER COSTS'!AD45</f>
        <v>0</v>
      </c>
      <c r="M64" s="63">
        <f>'OTHER COSTS'!AE38+'OTHER COSTS'!AE45</f>
        <v>0</v>
      </c>
      <c r="N64" s="63">
        <f>'OTHER COSTS'!AF38+'OTHER COSTS'!AF45</f>
        <v>0</v>
      </c>
      <c r="O64" s="63">
        <f>'OTHER COSTS'!AG38+'OTHER COSTS'!AG45</f>
        <v>0</v>
      </c>
      <c r="P64" s="63">
        <f>'OTHER COSTS'!AH38+'OTHER COSTS'!AH45</f>
        <v>0</v>
      </c>
      <c r="Q64" s="63">
        <f>'OTHER COSTS'!AI38+'OTHER COSTS'!AI45</f>
        <v>0</v>
      </c>
      <c r="R64" s="63">
        <f>'OTHER COSTS'!AJ38+'OTHER COSTS'!AJ45</f>
        <v>0</v>
      </c>
      <c r="S64" s="63">
        <f>'OTHER COSTS'!AK38+'OTHER COSTS'!AK45</f>
        <v>0</v>
      </c>
    </row>
    <row r="65" spans="1:21" s="43" customFormat="1">
      <c r="A65" s="661" t="s">
        <v>198</v>
      </c>
      <c r="B65" s="63">
        <f>'OTHER COSTS'!T56</f>
        <v>0</v>
      </c>
      <c r="C65" s="63">
        <f>'OTHER COSTS'!U56</f>
        <v>0</v>
      </c>
      <c r="D65" s="63">
        <f>'OTHER COSTS'!V56</f>
        <v>0</v>
      </c>
      <c r="E65" s="63">
        <f>'OTHER COSTS'!W56</f>
        <v>0</v>
      </c>
      <c r="F65" s="63">
        <f>'OTHER COSTS'!X56</f>
        <v>0</v>
      </c>
      <c r="G65" s="63">
        <f>'OTHER COSTS'!Y56</f>
        <v>0</v>
      </c>
      <c r="H65" s="63">
        <f>'OTHER COSTS'!Z56</f>
        <v>0</v>
      </c>
      <c r="I65" s="63">
        <f>'OTHER COSTS'!AA56</f>
        <v>0</v>
      </c>
      <c r="J65" s="63">
        <f>'OTHER COSTS'!AB56</f>
        <v>0</v>
      </c>
      <c r="K65" s="63">
        <f>'OTHER COSTS'!AC56</f>
        <v>0</v>
      </c>
      <c r="L65" s="63">
        <f>'OTHER COSTS'!AD56</f>
        <v>0</v>
      </c>
      <c r="M65" s="63">
        <f>'OTHER COSTS'!AE56</f>
        <v>0</v>
      </c>
      <c r="N65" s="63">
        <f>'OTHER COSTS'!AF56</f>
        <v>0</v>
      </c>
      <c r="O65" s="63">
        <f>'OTHER COSTS'!AG56</f>
        <v>0</v>
      </c>
      <c r="P65" s="63">
        <f>'OTHER COSTS'!AH56</f>
        <v>0</v>
      </c>
      <c r="Q65" s="63">
        <f>'OTHER COSTS'!AI56</f>
        <v>0</v>
      </c>
      <c r="R65" s="63">
        <f>'OTHER COSTS'!AJ56</f>
        <v>0</v>
      </c>
      <c r="S65" s="63">
        <f>'OTHER COSTS'!AK56</f>
        <v>0</v>
      </c>
    </row>
    <row r="66" spans="1:21" s="43" customFormat="1" ht="9" customHeight="1">
      <c r="A66" s="52" t="s">
        <v>49</v>
      </c>
      <c r="B66" s="308"/>
      <c r="C66" s="307"/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307"/>
    </row>
    <row r="67" spans="1:21" s="43" customFormat="1" ht="7.5" thickBot="1">
      <c r="A67" s="82" t="s">
        <v>74</v>
      </c>
      <c r="B67" s="64">
        <f>SUM(B63:B66)</f>
        <v>0</v>
      </c>
      <c r="C67" s="42">
        <f>SUM(C63:C66)</f>
        <v>0</v>
      </c>
      <c r="D67" s="42">
        <f>SUM(D63:D66)</f>
        <v>0</v>
      </c>
      <c r="E67" s="42">
        <f>SUM(E63:E66)</f>
        <v>0</v>
      </c>
      <c r="F67" s="42">
        <f t="shared" ref="F67:S67" si="22">SUM(F63:F66)</f>
        <v>0</v>
      </c>
      <c r="G67" s="42">
        <f t="shared" si="22"/>
        <v>0</v>
      </c>
      <c r="H67" s="42">
        <f t="shared" si="22"/>
        <v>0</v>
      </c>
      <c r="I67" s="42">
        <f t="shared" si="22"/>
        <v>0</v>
      </c>
      <c r="J67" s="42">
        <f t="shared" si="22"/>
        <v>0</v>
      </c>
      <c r="K67" s="42">
        <f t="shared" si="22"/>
        <v>0</v>
      </c>
      <c r="L67" s="42">
        <f t="shared" si="22"/>
        <v>0</v>
      </c>
      <c r="M67" s="42">
        <f t="shared" si="22"/>
        <v>0</v>
      </c>
      <c r="N67" s="42">
        <f t="shared" si="22"/>
        <v>0</v>
      </c>
      <c r="O67" s="42">
        <f t="shared" si="22"/>
        <v>0</v>
      </c>
      <c r="P67" s="42">
        <f t="shared" si="22"/>
        <v>0</v>
      </c>
      <c r="Q67" s="42">
        <f t="shared" si="22"/>
        <v>0</v>
      </c>
      <c r="R67" s="624" t="s">
        <v>150</v>
      </c>
      <c r="S67" s="42">
        <f t="shared" si="22"/>
        <v>0</v>
      </c>
    </row>
    <row r="68" spans="1:21" s="43" customFormat="1" ht="11.5" thickTop="1" thickBot="1">
      <c r="A68" s="254" t="s">
        <v>53</v>
      </c>
      <c r="B68" s="65">
        <f>SUM(B61:B66)+B60</f>
        <v>0</v>
      </c>
      <c r="C68" s="76">
        <f>SUM(C61:C66)+C60</f>
        <v>0</v>
      </c>
      <c r="D68" s="76">
        <f>SUM(D61:D66)+D60</f>
        <v>0</v>
      </c>
      <c r="E68" s="76">
        <f>SUM(E61:E66)+E60</f>
        <v>84</v>
      </c>
      <c r="F68" s="76">
        <f t="shared" ref="F68:S68" si="23">SUM(F61:F66)+F60</f>
        <v>0</v>
      </c>
      <c r="G68" s="76">
        <f t="shared" si="23"/>
        <v>0</v>
      </c>
      <c r="H68" s="76">
        <f t="shared" si="23"/>
        <v>0</v>
      </c>
      <c r="I68" s="76">
        <f t="shared" si="23"/>
        <v>0</v>
      </c>
      <c r="J68" s="76">
        <f t="shared" si="23"/>
        <v>0</v>
      </c>
      <c r="K68" s="76">
        <f t="shared" si="23"/>
        <v>0</v>
      </c>
      <c r="L68" s="76">
        <f t="shared" si="23"/>
        <v>0</v>
      </c>
      <c r="M68" s="76">
        <f t="shared" si="23"/>
        <v>0</v>
      </c>
      <c r="N68" s="76">
        <f t="shared" si="23"/>
        <v>0</v>
      </c>
      <c r="O68" s="76">
        <f t="shared" si="23"/>
        <v>0</v>
      </c>
      <c r="P68" s="76">
        <f t="shared" si="23"/>
        <v>0</v>
      </c>
      <c r="Q68" s="76">
        <f t="shared" si="23"/>
        <v>0</v>
      </c>
      <c r="R68" s="76">
        <f t="shared" si="23"/>
        <v>0</v>
      </c>
      <c r="S68" s="76">
        <f t="shared" si="23"/>
        <v>0</v>
      </c>
    </row>
    <row r="69" spans="1:21" s="43" customFormat="1" ht="8" thickTop="1" thickBot="1">
      <c r="A69" s="258" t="s">
        <v>119</v>
      </c>
      <c r="B69" s="259">
        <f>B54-B68</f>
        <v>200</v>
      </c>
      <c r="C69" s="259">
        <f>C54-C68</f>
        <v>0</v>
      </c>
      <c r="D69" s="259">
        <f>D54-D68</f>
        <v>0</v>
      </c>
      <c r="E69" s="259">
        <f>E54-E68</f>
        <v>421</v>
      </c>
      <c r="F69" s="259">
        <f t="shared" ref="F69:S69" si="24">F54-F68</f>
        <v>0</v>
      </c>
      <c r="G69" s="259">
        <f t="shared" si="24"/>
        <v>0</v>
      </c>
      <c r="H69" s="259">
        <f t="shared" si="24"/>
        <v>0</v>
      </c>
      <c r="I69" s="259">
        <f t="shared" si="24"/>
        <v>0</v>
      </c>
      <c r="J69" s="259">
        <f t="shared" si="24"/>
        <v>0</v>
      </c>
      <c r="K69" s="259">
        <f t="shared" si="24"/>
        <v>0</v>
      </c>
      <c r="L69" s="259">
        <f t="shared" si="24"/>
        <v>0</v>
      </c>
      <c r="M69" s="259">
        <f t="shared" si="24"/>
        <v>0</v>
      </c>
      <c r="N69" s="259">
        <f t="shared" si="24"/>
        <v>410</v>
      </c>
      <c r="O69" s="259">
        <f t="shared" si="24"/>
        <v>0</v>
      </c>
      <c r="P69" s="259">
        <f t="shared" si="24"/>
        <v>0</v>
      </c>
      <c r="Q69" s="259">
        <f t="shared" si="24"/>
        <v>0</v>
      </c>
      <c r="R69" s="259">
        <f t="shared" si="24"/>
        <v>0</v>
      </c>
      <c r="S69" s="259">
        <f t="shared" si="24"/>
        <v>0</v>
      </c>
    </row>
    <row r="70" spans="1:21" s="194" customFormat="1" ht="8" thickTop="1" thickBot="1">
      <c r="A70" s="86" t="s">
        <v>118</v>
      </c>
      <c r="B70" s="310" t="s">
        <v>232</v>
      </c>
      <c r="C70" s="310" t="str">
        <f t="shared" ref="C70:S70" si="25">IF(C69=0,"","post bal.")</f>
        <v/>
      </c>
      <c r="D70" s="310" t="str">
        <f t="shared" si="25"/>
        <v/>
      </c>
      <c r="E70" s="310" t="s">
        <v>232</v>
      </c>
      <c r="F70" s="310" t="str">
        <f t="shared" si="25"/>
        <v/>
      </c>
      <c r="G70" s="310" t="str">
        <f t="shared" si="25"/>
        <v/>
      </c>
      <c r="H70" s="310" t="str">
        <f t="shared" si="25"/>
        <v/>
      </c>
      <c r="I70" s="310" t="str">
        <f t="shared" si="25"/>
        <v/>
      </c>
      <c r="J70" s="310" t="str">
        <f t="shared" si="25"/>
        <v/>
      </c>
      <c r="K70" s="310" t="str">
        <f t="shared" si="25"/>
        <v/>
      </c>
      <c r="L70" s="310" t="str">
        <f t="shared" si="25"/>
        <v/>
      </c>
      <c r="M70" s="310" t="str">
        <f t="shared" si="25"/>
        <v/>
      </c>
      <c r="N70" s="310" t="s">
        <v>232</v>
      </c>
      <c r="O70" s="310" t="str">
        <f t="shared" si="25"/>
        <v/>
      </c>
      <c r="P70" s="310" t="str">
        <f t="shared" si="25"/>
        <v/>
      </c>
      <c r="Q70" s="310" t="str">
        <f t="shared" si="25"/>
        <v/>
      </c>
      <c r="R70" s="310" t="str">
        <f t="shared" si="25"/>
        <v/>
      </c>
      <c r="S70" s="310" t="str">
        <f t="shared" si="25"/>
        <v/>
      </c>
      <c r="T70" s="178"/>
      <c r="U70" s="178"/>
    </row>
    <row r="71" spans="1:21" s="231" customFormat="1" ht="7.5" hidden="1" thickTop="1">
      <c r="A71" s="228" t="s">
        <v>104</v>
      </c>
      <c r="B71" s="230">
        <f>IF(B70="post bal.",B69,0)</f>
        <v>0</v>
      </c>
      <c r="C71" s="230">
        <f t="shared" ref="C71:J71" si="26">IF(C70="post bal.",C69,0)</f>
        <v>0</v>
      </c>
      <c r="D71" s="230">
        <f t="shared" si="26"/>
        <v>0</v>
      </c>
      <c r="E71" s="230">
        <f t="shared" si="26"/>
        <v>0</v>
      </c>
      <c r="F71" s="230">
        <f t="shared" si="26"/>
        <v>0</v>
      </c>
      <c r="G71" s="230">
        <f t="shared" si="26"/>
        <v>0</v>
      </c>
      <c r="H71" s="230">
        <f t="shared" si="26"/>
        <v>0</v>
      </c>
      <c r="I71" s="230">
        <f t="shared" si="26"/>
        <v>0</v>
      </c>
      <c r="J71" s="230">
        <f t="shared" si="26"/>
        <v>0</v>
      </c>
      <c r="K71" s="230">
        <f t="shared" ref="K71:S71" si="27">IF(K70="post bal.",K69,0)</f>
        <v>0</v>
      </c>
      <c r="L71" s="230">
        <f t="shared" si="27"/>
        <v>0</v>
      </c>
      <c r="M71" s="230">
        <f t="shared" si="27"/>
        <v>0</v>
      </c>
      <c r="N71" s="230">
        <f t="shared" si="27"/>
        <v>0</v>
      </c>
      <c r="O71" s="230">
        <f t="shared" si="27"/>
        <v>0</v>
      </c>
      <c r="P71" s="230">
        <f t="shared" si="27"/>
        <v>0</v>
      </c>
      <c r="Q71" s="230">
        <f t="shared" si="27"/>
        <v>0</v>
      </c>
      <c r="R71" s="230">
        <f t="shared" si="27"/>
        <v>0</v>
      </c>
      <c r="S71" s="230">
        <f t="shared" si="27"/>
        <v>0</v>
      </c>
      <c r="T71" s="230">
        <f>IF(T70="post bal.",T68,0)</f>
        <v>0</v>
      </c>
      <c r="U71" s="230">
        <f>IF(U70="post bal.",U68,0)</f>
        <v>0</v>
      </c>
    </row>
    <row r="72" spans="1:21" s="229" customFormat="1" hidden="1">
      <c r="A72" s="228" t="s">
        <v>105</v>
      </c>
      <c r="B72" s="229">
        <f t="shared" ref="B72:S72" si="28">IF(B42="Insurance",B66,0)</f>
        <v>0</v>
      </c>
      <c r="C72" s="229">
        <f t="shared" si="28"/>
        <v>0</v>
      </c>
      <c r="D72" s="229">
        <f t="shared" si="28"/>
        <v>0</v>
      </c>
      <c r="E72" s="229">
        <f t="shared" si="28"/>
        <v>0</v>
      </c>
      <c r="F72" s="229">
        <f t="shared" si="28"/>
        <v>0</v>
      </c>
      <c r="G72" s="229">
        <f t="shared" si="28"/>
        <v>0</v>
      </c>
      <c r="H72" s="229">
        <f t="shared" si="28"/>
        <v>0</v>
      </c>
      <c r="I72" s="229">
        <f t="shared" si="28"/>
        <v>0</v>
      </c>
      <c r="J72" s="229">
        <f t="shared" si="28"/>
        <v>0</v>
      </c>
      <c r="K72" s="229">
        <f t="shared" si="28"/>
        <v>0</v>
      </c>
      <c r="L72" s="229">
        <f t="shared" si="28"/>
        <v>0</v>
      </c>
      <c r="M72" s="229">
        <f t="shared" si="28"/>
        <v>0</v>
      </c>
      <c r="N72" s="229">
        <f t="shared" si="28"/>
        <v>0</v>
      </c>
      <c r="O72" s="229">
        <f t="shared" si="28"/>
        <v>0</v>
      </c>
      <c r="P72" s="229">
        <f t="shared" si="28"/>
        <v>0</v>
      </c>
      <c r="Q72" s="229">
        <f t="shared" si="28"/>
        <v>0</v>
      </c>
      <c r="R72" s="229">
        <f t="shared" si="28"/>
        <v>0</v>
      </c>
      <c r="S72" s="229">
        <f t="shared" si="28"/>
        <v>0</v>
      </c>
    </row>
    <row r="73" spans="1:21" s="229" customFormat="1" hidden="1">
      <c r="A73" s="228" t="s">
        <v>207</v>
      </c>
      <c r="B73" s="229">
        <f>IF(B42="RCR",B66,0)</f>
        <v>0</v>
      </c>
      <c r="C73" s="229">
        <f t="shared" ref="C73:S73" si="29">IF(C42="RCR",C66,0)</f>
        <v>0</v>
      </c>
      <c r="D73" s="229">
        <f t="shared" si="29"/>
        <v>0</v>
      </c>
      <c r="E73" s="229">
        <f t="shared" si="29"/>
        <v>0</v>
      </c>
      <c r="F73" s="229">
        <f t="shared" si="29"/>
        <v>0</v>
      </c>
      <c r="G73" s="229">
        <f t="shared" si="29"/>
        <v>0</v>
      </c>
      <c r="H73" s="229">
        <f t="shared" si="29"/>
        <v>0</v>
      </c>
      <c r="I73" s="229">
        <f t="shared" si="29"/>
        <v>0</v>
      </c>
      <c r="J73" s="229">
        <f t="shared" si="29"/>
        <v>0</v>
      </c>
      <c r="K73" s="229">
        <f t="shared" si="29"/>
        <v>0</v>
      </c>
      <c r="L73" s="229">
        <f t="shared" si="29"/>
        <v>0</v>
      </c>
      <c r="M73" s="229">
        <f t="shared" si="29"/>
        <v>0</v>
      </c>
      <c r="N73" s="229">
        <f t="shared" si="29"/>
        <v>0</v>
      </c>
      <c r="O73" s="229">
        <f t="shared" si="29"/>
        <v>0</v>
      </c>
      <c r="P73" s="229">
        <f t="shared" si="29"/>
        <v>0</v>
      </c>
      <c r="Q73" s="229">
        <f t="shared" si="29"/>
        <v>0</v>
      </c>
      <c r="R73" s="229">
        <f t="shared" si="29"/>
        <v>0</v>
      </c>
      <c r="S73" s="229">
        <f t="shared" si="29"/>
        <v>0</v>
      </c>
    </row>
    <row r="74" spans="1:21" s="229" customFormat="1" hidden="1">
      <c r="A74" s="228" t="s">
        <v>106</v>
      </c>
      <c r="B74" s="229">
        <f t="shared" ref="B74:S74" si="30">IF(B42="Mooring",B67,0)</f>
        <v>0</v>
      </c>
      <c r="C74" s="229">
        <f t="shared" si="30"/>
        <v>0</v>
      </c>
      <c r="D74" s="229">
        <f t="shared" si="30"/>
        <v>0</v>
      </c>
      <c r="E74" s="229">
        <f t="shared" si="30"/>
        <v>0</v>
      </c>
      <c r="F74" s="229">
        <f t="shared" si="30"/>
        <v>0</v>
      </c>
      <c r="G74" s="229">
        <f t="shared" si="30"/>
        <v>0</v>
      </c>
      <c r="H74" s="229">
        <f t="shared" si="30"/>
        <v>0</v>
      </c>
      <c r="I74" s="229">
        <f t="shared" si="30"/>
        <v>0</v>
      </c>
      <c r="J74" s="229">
        <f t="shared" si="30"/>
        <v>0</v>
      </c>
      <c r="K74" s="229">
        <f t="shared" si="30"/>
        <v>0</v>
      </c>
      <c r="L74" s="229">
        <f t="shared" si="30"/>
        <v>0</v>
      </c>
      <c r="M74" s="229">
        <f t="shared" si="30"/>
        <v>0</v>
      </c>
      <c r="N74" s="229">
        <f t="shared" si="30"/>
        <v>0</v>
      </c>
      <c r="O74" s="229">
        <f t="shared" si="30"/>
        <v>0</v>
      </c>
      <c r="P74" s="229">
        <f t="shared" si="30"/>
        <v>0</v>
      </c>
      <c r="Q74" s="229">
        <f t="shared" si="30"/>
        <v>0</v>
      </c>
      <c r="R74" s="229">
        <f t="shared" si="30"/>
        <v>0</v>
      </c>
      <c r="S74" s="229">
        <f t="shared" si="30"/>
        <v>0</v>
      </c>
    </row>
    <row r="75" spans="1:21" s="229" customFormat="1" hidden="1">
      <c r="A75" s="228" t="s">
        <v>107</v>
      </c>
      <c r="B75" s="229">
        <f t="shared" ref="B75:S75" si="31">IF(B42="Licence",B68,0)</f>
        <v>0</v>
      </c>
      <c r="C75" s="229">
        <f t="shared" si="31"/>
        <v>0</v>
      </c>
      <c r="D75" s="229">
        <f t="shared" si="31"/>
        <v>0</v>
      </c>
      <c r="E75" s="229">
        <f t="shared" si="31"/>
        <v>0</v>
      </c>
      <c r="F75" s="229">
        <f t="shared" si="31"/>
        <v>0</v>
      </c>
      <c r="G75" s="229">
        <f t="shared" si="31"/>
        <v>0</v>
      </c>
      <c r="H75" s="229">
        <f t="shared" si="31"/>
        <v>0</v>
      </c>
      <c r="I75" s="229">
        <f t="shared" si="31"/>
        <v>0</v>
      </c>
      <c r="J75" s="229">
        <f t="shared" si="31"/>
        <v>0</v>
      </c>
      <c r="K75" s="229">
        <f t="shared" si="31"/>
        <v>0</v>
      </c>
      <c r="L75" s="229">
        <f t="shared" si="31"/>
        <v>0</v>
      </c>
      <c r="M75" s="229">
        <f t="shared" si="31"/>
        <v>0</v>
      </c>
      <c r="N75" s="229">
        <f t="shared" si="31"/>
        <v>0</v>
      </c>
      <c r="O75" s="229">
        <f t="shared" si="31"/>
        <v>0</v>
      </c>
      <c r="P75" s="229">
        <f t="shared" si="31"/>
        <v>0</v>
      </c>
      <c r="Q75" s="229">
        <f t="shared" si="31"/>
        <v>0</v>
      </c>
      <c r="R75" s="229">
        <f t="shared" si="31"/>
        <v>0</v>
      </c>
      <c r="S75" s="229">
        <f t="shared" si="31"/>
        <v>0</v>
      </c>
    </row>
    <row r="76" spans="1:21" s="238" customFormat="1" ht="7.5" hidden="1" thickBot="1">
      <c r="A76" s="237" t="s">
        <v>108</v>
      </c>
      <c r="B76" s="238">
        <f t="shared" ref="B76:K76" si="32">B66-SUM(B72:B75)</f>
        <v>0</v>
      </c>
      <c r="C76" s="238">
        <f t="shared" si="32"/>
        <v>0</v>
      </c>
      <c r="D76" s="238">
        <f t="shared" si="32"/>
        <v>0</v>
      </c>
      <c r="E76" s="238">
        <f t="shared" si="32"/>
        <v>0</v>
      </c>
      <c r="F76" s="238">
        <f t="shared" si="32"/>
        <v>0</v>
      </c>
      <c r="G76" s="238">
        <f t="shared" si="32"/>
        <v>0</v>
      </c>
      <c r="H76" s="238">
        <f t="shared" si="32"/>
        <v>0</v>
      </c>
      <c r="I76" s="238">
        <f t="shared" si="32"/>
        <v>0</v>
      </c>
      <c r="J76" s="238">
        <f t="shared" si="32"/>
        <v>0</v>
      </c>
      <c r="K76" s="238">
        <f t="shared" si="32"/>
        <v>0</v>
      </c>
      <c r="L76" s="238">
        <f t="shared" ref="L76:S76" si="33">L66-SUM(L72:L75)</f>
        <v>0</v>
      </c>
      <c r="M76" s="238">
        <f t="shared" si="33"/>
        <v>0</v>
      </c>
      <c r="N76" s="238">
        <f t="shared" si="33"/>
        <v>0</v>
      </c>
      <c r="O76" s="238">
        <f t="shared" si="33"/>
        <v>0</v>
      </c>
      <c r="P76" s="238">
        <f t="shared" si="33"/>
        <v>0</v>
      </c>
      <c r="Q76" s="238">
        <f t="shared" si="33"/>
        <v>0</v>
      </c>
      <c r="R76" s="238">
        <f t="shared" si="33"/>
        <v>0</v>
      </c>
      <c r="S76" s="238">
        <f t="shared" si="33"/>
        <v>0</v>
      </c>
    </row>
    <row r="77" spans="1:21" s="43" customFormat="1" ht="8" thickTop="1" thickBot="1">
      <c r="K77" s="440"/>
    </row>
    <row r="78" spans="1:21" s="43" customFormat="1" ht="11.5" thickTop="1" thickBot="1">
      <c r="A78" s="11" t="s">
        <v>133</v>
      </c>
    </row>
    <row r="79" spans="1:21" s="43" customFormat="1" ht="7.5" thickTop="1">
      <c r="A79" s="78" t="s">
        <v>68</v>
      </c>
      <c r="B79" s="436" t="s">
        <v>144</v>
      </c>
      <c r="C79" s="436" t="s">
        <v>236</v>
      </c>
      <c r="D79" s="436" t="s">
        <v>237</v>
      </c>
      <c r="E79" s="436" t="s">
        <v>234</v>
      </c>
      <c r="F79" s="436" t="s">
        <v>144</v>
      </c>
      <c r="G79" s="436" t="s">
        <v>144</v>
      </c>
      <c r="H79" s="436" t="s">
        <v>144</v>
      </c>
      <c r="I79" s="436" t="s">
        <v>249</v>
      </c>
      <c r="J79" s="436" t="s">
        <v>144</v>
      </c>
      <c r="K79" s="436" t="s">
        <v>144</v>
      </c>
      <c r="L79" s="436" t="s">
        <v>102</v>
      </c>
      <c r="M79" s="436" t="s">
        <v>144</v>
      </c>
      <c r="N79" s="436" t="s">
        <v>229</v>
      </c>
      <c r="O79" s="436" t="s">
        <v>141</v>
      </c>
      <c r="P79" s="436" t="s">
        <v>252</v>
      </c>
      <c r="Q79" s="436" t="s">
        <v>102</v>
      </c>
      <c r="R79" s="436" t="s">
        <v>275</v>
      </c>
      <c r="S79" s="436" t="s">
        <v>144</v>
      </c>
    </row>
    <row r="80" spans="1:21" s="43" customFormat="1">
      <c r="A80" s="7" t="s">
        <v>69</v>
      </c>
      <c r="B80" s="209">
        <f>S43+7</f>
        <v>45540</v>
      </c>
      <c r="C80" s="79">
        <f t="shared" ref="C80:S80" si="34">B80+7</f>
        <v>45547</v>
      </c>
      <c r="D80" s="79">
        <f t="shared" si="34"/>
        <v>45554</v>
      </c>
      <c r="E80" s="79">
        <f t="shared" si="34"/>
        <v>45561</v>
      </c>
      <c r="F80" s="79">
        <f t="shared" si="34"/>
        <v>45568</v>
      </c>
      <c r="G80" s="79">
        <f t="shared" si="34"/>
        <v>45575</v>
      </c>
      <c r="H80" s="79">
        <f t="shared" si="34"/>
        <v>45582</v>
      </c>
      <c r="I80" s="79">
        <f t="shared" si="34"/>
        <v>45589</v>
      </c>
      <c r="J80" s="79">
        <f t="shared" si="34"/>
        <v>45596</v>
      </c>
      <c r="K80" s="79">
        <f t="shared" si="34"/>
        <v>45603</v>
      </c>
      <c r="L80" s="79">
        <f t="shared" si="34"/>
        <v>45610</v>
      </c>
      <c r="M80" s="79">
        <f t="shared" si="34"/>
        <v>45617</v>
      </c>
      <c r="N80" s="79">
        <f t="shared" si="34"/>
        <v>45624</v>
      </c>
      <c r="O80" s="79">
        <f t="shared" si="34"/>
        <v>45631</v>
      </c>
      <c r="P80" s="79">
        <f t="shared" si="34"/>
        <v>45638</v>
      </c>
      <c r="Q80" s="79">
        <v>45674</v>
      </c>
      <c r="R80" s="80">
        <f t="shared" si="34"/>
        <v>45681</v>
      </c>
      <c r="S80" s="80">
        <f t="shared" si="34"/>
        <v>45688</v>
      </c>
    </row>
    <row r="81" spans="1:19" s="43" customFormat="1">
      <c r="A81" s="93" t="s">
        <v>12</v>
      </c>
      <c r="B81" s="290"/>
      <c r="C81" s="290">
        <v>5</v>
      </c>
      <c r="D81" s="290">
        <v>5</v>
      </c>
      <c r="E81" s="290">
        <v>4</v>
      </c>
      <c r="F81" s="290"/>
      <c r="G81" s="290"/>
      <c r="H81" s="290"/>
      <c r="I81" s="290">
        <v>4</v>
      </c>
      <c r="J81" s="290"/>
      <c r="K81" s="290"/>
      <c r="L81" s="290"/>
      <c r="M81" s="290"/>
      <c r="N81" s="290"/>
      <c r="O81" s="290"/>
      <c r="P81" s="290"/>
      <c r="Q81" s="290"/>
      <c r="R81" s="292"/>
      <c r="S81" s="290"/>
    </row>
    <row r="82" spans="1:19" s="43" customFormat="1" ht="7.5" thickBot="1">
      <c r="A82" s="97" t="s">
        <v>13</v>
      </c>
      <c r="B82" s="290"/>
      <c r="C82" s="293">
        <v>12</v>
      </c>
      <c r="D82" s="293"/>
      <c r="E82" s="293">
        <v>7</v>
      </c>
      <c r="F82" s="293"/>
      <c r="G82" s="293"/>
      <c r="H82" s="293"/>
      <c r="I82" s="293">
        <v>0</v>
      </c>
      <c r="J82" s="293"/>
      <c r="K82" s="293"/>
      <c r="L82" s="293"/>
      <c r="M82" s="293"/>
      <c r="N82" s="293"/>
      <c r="O82" s="293"/>
      <c r="P82" s="293"/>
      <c r="Q82" s="293"/>
      <c r="R82" s="295"/>
      <c r="S82" s="293"/>
    </row>
    <row r="83" spans="1:19" s="241" customFormat="1" ht="7.5" hidden="1" thickTop="1">
      <c r="A83" s="239" t="s">
        <v>111</v>
      </c>
      <c r="B83" s="260">
        <f>IF(OR(ISTEXT(B80),B80=0),Summary!$E$1-7,B80-MOD(B80-Summary!$E$1,7))</f>
        <v>45540</v>
      </c>
      <c r="C83" s="240">
        <f>IF(OR(ISTEXT(C80),C80=0),Summary!$E$1-7,C80-MOD(C80-Summary!$E$1,7))</f>
        <v>45547</v>
      </c>
      <c r="D83" s="240">
        <f>IF(OR(ISTEXT(D80),D80=0),Summary!$E$1-7,D80-MOD(D80-Summary!$E$1,7))</f>
        <v>45554</v>
      </c>
      <c r="E83" s="240">
        <f>IF(OR(ISTEXT(E80),E80=0),Summary!$E$1-7,E80-MOD(E80-Summary!$E$1,7))</f>
        <v>45561</v>
      </c>
      <c r="F83" s="240">
        <f>IF(OR(ISTEXT(F80),F80=0),Summary!$E$1-7,F80-MOD(F80-Summary!$E$1,7))</f>
        <v>45568</v>
      </c>
      <c r="G83" s="240">
        <f>IF(OR(ISTEXT(G80),G80=0),Summary!$E$1-7,G80-MOD(G80-Summary!$E$1,7))</f>
        <v>45575</v>
      </c>
      <c r="H83" s="240">
        <f>IF(OR(ISTEXT(H80),H80=0),Summary!$E$1-7,H80-MOD(H80-Summary!$E$1,7))</f>
        <v>45582</v>
      </c>
      <c r="I83" s="240">
        <f>IF(OR(ISTEXT(I80),I80=0),Summary!$E$1-7,I80-MOD(I80-Summary!$E$1,7))</f>
        <v>45589</v>
      </c>
      <c r="J83" s="240">
        <f>IF(OR(ISTEXT(J80),J80=0),Summary!$E$1-7,J80-MOD(J80-Summary!$E$1,7))</f>
        <v>45596</v>
      </c>
      <c r="K83" s="240">
        <f>IF(OR(ISTEXT(K80),K80=0),Summary!$E$1-7,K80-MOD(K80-Summary!$E$1,7))</f>
        <v>45603</v>
      </c>
      <c r="L83" s="240">
        <f>IF(OR(ISTEXT(L80),L80=0),Summary!$E$1-7,L80-MOD(L80-Summary!$E$1,7))</f>
        <v>45610</v>
      </c>
      <c r="M83" s="240">
        <f>IF(OR(ISTEXT(M80),M80=0),Summary!$E$1-7,M80-MOD(M80-Summary!$E$1,7))</f>
        <v>45617</v>
      </c>
      <c r="N83" s="240">
        <f>IF(OR(ISTEXT(N80),N80=0),Summary!$E$1-7,N80-MOD(N80-Summary!$E$1,7))</f>
        <v>45624</v>
      </c>
      <c r="O83" s="240">
        <f>IF(OR(ISTEXT(O80),O80=0),Summary!$E$1-7,O80-MOD(O80-Summary!$E$1,7))</f>
        <v>45631</v>
      </c>
      <c r="P83" s="240">
        <f>IF(OR(ISTEXT(P80),P80=0),Summary!$E$1-7,P80-MOD(P80-Summary!$E$1,7))</f>
        <v>45638</v>
      </c>
      <c r="Q83" s="240">
        <f>IF(OR(ISTEXT(Q80),Q80=0),Summary!$E$1-7,Q80-MOD(Q80-Summary!$E$1,7))</f>
        <v>45673</v>
      </c>
      <c r="R83" s="260">
        <f>IF(OR(ISTEXT(R80),R80=0),Summary!$E$1-7,R80-MOD(R80-Summary!$E$1,7))</f>
        <v>45680</v>
      </c>
      <c r="S83" s="240">
        <f>IF(OR(ISTEXT(S80),S80=0),Summary!$E$1-7,S80-MOD(S80-Summary!$E$1,7))</f>
        <v>45687</v>
      </c>
    </row>
    <row r="84" spans="1:19" s="241" customFormat="1" hidden="1">
      <c r="A84" s="233" t="s">
        <v>121</v>
      </c>
      <c r="B84" s="282">
        <f>IF(B81=0,0,1)</f>
        <v>0</v>
      </c>
      <c r="C84" s="284">
        <f t="shared" ref="C84:S84" si="35">IF(C81=0,0,1)</f>
        <v>1</v>
      </c>
      <c r="D84" s="284">
        <f t="shared" si="35"/>
        <v>1</v>
      </c>
      <c r="E84" s="284">
        <f t="shared" si="35"/>
        <v>1</v>
      </c>
      <c r="F84" s="284">
        <f t="shared" si="35"/>
        <v>0</v>
      </c>
      <c r="G84" s="284">
        <f t="shared" si="35"/>
        <v>0</v>
      </c>
      <c r="H84" s="284">
        <f t="shared" si="35"/>
        <v>0</v>
      </c>
      <c r="I84" s="284">
        <f t="shared" si="35"/>
        <v>1</v>
      </c>
      <c r="J84" s="284">
        <f t="shared" si="35"/>
        <v>0</v>
      </c>
      <c r="K84" s="284">
        <f t="shared" si="35"/>
        <v>0</v>
      </c>
      <c r="L84" s="284">
        <f t="shared" si="35"/>
        <v>0</v>
      </c>
      <c r="M84" s="284">
        <f t="shared" si="35"/>
        <v>0</v>
      </c>
      <c r="N84" s="284">
        <f t="shared" si="35"/>
        <v>0</v>
      </c>
      <c r="O84" s="284">
        <f t="shared" si="35"/>
        <v>0</v>
      </c>
      <c r="P84" s="284">
        <f t="shared" si="35"/>
        <v>0</v>
      </c>
      <c r="Q84" s="284">
        <f t="shared" si="35"/>
        <v>0</v>
      </c>
      <c r="R84" s="491">
        <f t="shared" si="35"/>
        <v>0</v>
      </c>
      <c r="S84" s="284">
        <f t="shared" si="35"/>
        <v>0</v>
      </c>
    </row>
    <row r="85" spans="1:19" s="231" customFormat="1" hidden="1">
      <c r="A85" s="233" t="s">
        <v>122</v>
      </c>
      <c r="B85" s="232">
        <f>IF(B81&gt;0,IF(B83=S46,S48,S48+1),S48)</f>
        <v>3</v>
      </c>
      <c r="C85" s="284">
        <f t="shared" ref="C85:S85" si="36">IF(C81&gt;0,IF(C83=B83,B85,B85+1),B85)</f>
        <v>4</v>
      </c>
      <c r="D85" s="284">
        <f t="shared" si="36"/>
        <v>5</v>
      </c>
      <c r="E85" s="284">
        <f t="shared" si="36"/>
        <v>6</v>
      </c>
      <c r="F85" s="284">
        <f t="shared" si="36"/>
        <v>6</v>
      </c>
      <c r="G85" s="284">
        <f t="shared" si="36"/>
        <v>6</v>
      </c>
      <c r="H85" s="284">
        <f t="shared" si="36"/>
        <v>6</v>
      </c>
      <c r="I85" s="284">
        <f t="shared" si="36"/>
        <v>7</v>
      </c>
      <c r="J85" s="284">
        <f t="shared" si="36"/>
        <v>7</v>
      </c>
      <c r="K85" s="284">
        <f t="shared" si="36"/>
        <v>7</v>
      </c>
      <c r="L85" s="284">
        <f t="shared" si="36"/>
        <v>7</v>
      </c>
      <c r="M85" s="284">
        <f t="shared" si="36"/>
        <v>7</v>
      </c>
      <c r="N85" s="284">
        <f t="shared" si="36"/>
        <v>7</v>
      </c>
      <c r="O85" s="284">
        <f t="shared" si="36"/>
        <v>7</v>
      </c>
      <c r="P85" s="284">
        <f t="shared" si="36"/>
        <v>7</v>
      </c>
      <c r="Q85" s="284">
        <f t="shared" si="36"/>
        <v>7</v>
      </c>
      <c r="R85" s="284">
        <f t="shared" si="36"/>
        <v>7</v>
      </c>
      <c r="S85" s="284">
        <f t="shared" si="36"/>
        <v>7</v>
      </c>
    </row>
    <row r="86" spans="1:19" s="231" customFormat="1" ht="7.5" hidden="1" thickBot="1">
      <c r="A86" s="233" t="s">
        <v>110</v>
      </c>
      <c r="B86" s="232">
        <f>IF(AND(B83&gt;Summary!$E$1-7,B83&lt;DATE(Summary!$B$1,10,31)),1,0)</f>
        <v>1</v>
      </c>
      <c r="C86" s="232">
        <f>IF(AND(C83&gt;Summary!$E$1-7,C83&lt;DATE(Summary!$B$1,10,31)),1,0)</f>
        <v>1</v>
      </c>
      <c r="D86" s="232">
        <f>IF(AND(D83&gt;Summary!$E$1-7,D83&lt;DATE(Summary!$B$1,10,31)),1,0)</f>
        <v>1</v>
      </c>
      <c r="E86" s="232">
        <f>IF(AND(E83&gt;Summary!$E$1-7,E83&lt;DATE(Summary!$B$1,10,31)),1,0)</f>
        <v>1</v>
      </c>
      <c r="F86" s="232">
        <f>IF(AND(F83&gt;Summary!$E$1-7,F83&lt;DATE(Summary!$B$1,10,31)),1,0)</f>
        <v>1</v>
      </c>
      <c r="G86" s="232">
        <f>IF(AND(G83&gt;Summary!$E$1-7,G83&lt;DATE(Summary!$B$1,10,31)),1,0)</f>
        <v>1</v>
      </c>
      <c r="H86" s="232">
        <f>IF(AND(H83&gt;Summary!$E$1-7,H83&lt;DATE(Summary!$B$1,10,31)),1,0)</f>
        <v>1</v>
      </c>
      <c r="I86" s="232">
        <f>IF(AND(I83&gt;Summary!$E$1-7,I83&lt;DATE(Summary!$B$1,10,31)),1,0)</f>
        <v>1</v>
      </c>
      <c r="J86" s="232">
        <f>IF(AND(J83&gt;Summary!$E$1-7,J83&lt;DATE(Summary!$B$1,10,31)),1,0)</f>
        <v>0</v>
      </c>
      <c r="K86" s="232">
        <f>IF(AND(K83&gt;Summary!$E$1-7,K83&lt;DATE(Summary!$B$1,10,31)),1,0)</f>
        <v>0</v>
      </c>
      <c r="L86" s="232">
        <f>IF(AND(L83&gt;Summary!$E$1-7,L83&lt;DATE(Summary!$B$1,10,31)),1,0)</f>
        <v>0</v>
      </c>
      <c r="M86" s="232">
        <f>IF(AND(M83&gt;Summary!$E$1-7,M83&lt;DATE(Summary!$B$1,10,31)),1,0)</f>
        <v>0</v>
      </c>
      <c r="N86" s="232">
        <f>IF(AND(N83&gt;Summary!$E$1-7,N83&lt;DATE(Summary!$B$1,10,31)),1,0)</f>
        <v>0</v>
      </c>
      <c r="O86" s="232">
        <f>IF(AND(O83&gt;Summary!$E$1-7,O83&lt;DATE(Summary!$B$1,10,31)),1,0)</f>
        <v>0</v>
      </c>
      <c r="P86" s="232">
        <f>IF(AND(P83&gt;Summary!$E$1-7,P83&lt;DATE(Summary!$B$1,10,31)),1,0)</f>
        <v>0</v>
      </c>
      <c r="Q86" s="232">
        <f>IF(AND(Q83&gt;Summary!$E$1-7,Q83&lt;DATE(Summary!$B$1,10,31)),1,0)</f>
        <v>0</v>
      </c>
      <c r="R86" s="232">
        <f>IF(AND(R83&gt;Summary!$E$1-7,R83&lt;DATE(Summary!$B$1,10,31)),1,0)</f>
        <v>0</v>
      </c>
      <c r="S86" s="232">
        <f>IF(AND(S83&gt;Summary!$E$1-7,S83&lt;DATE(Summary!$B$1,10,31)),1,0)</f>
        <v>0</v>
      </c>
    </row>
    <row r="87" spans="1:19" s="43" customFormat="1" ht="11.5" thickTop="1" thickBot="1">
      <c r="A87" s="62" t="s">
        <v>14</v>
      </c>
      <c r="B87" s="49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9"/>
    </row>
    <row r="88" spans="1:19" s="43" customFormat="1" ht="7.5" thickTop="1">
      <c r="A88" s="47" t="s">
        <v>23</v>
      </c>
      <c r="B88" s="298"/>
      <c r="C88" s="298">
        <v>35</v>
      </c>
      <c r="D88" s="298">
        <v>35</v>
      </c>
      <c r="E88" s="298">
        <v>35</v>
      </c>
      <c r="F88" s="298"/>
      <c r="G88" s="298"/>
      <c r="H88" s="298"/>
      <c r="I88" s="298">
        <v>35</v>
      </c>
      <c r="J88" s="298"/>
      <c r="K88" s="298"/>
      <c r="L88" s="298"/>
      <c r="M88" s="298"/>
      <c r="N88" s="298"/>
      <c r="O88" s="298"/>
      <c r="P88" s="298"/>
      <c r="Q88" s="298"/>
      <c r="R88" s="298"/>
      <c r="S88" s="296"/>
    </row>
    <row r="89" spans="1:19" s="43" customFormat="1">
      <c r="A89" s="50" t="s">
        <v>24</v>
      </c>
      <c r="B89" s="301"/>
      <c r="C89" s="301">
        <v>125</v>
      </c>
      <c r="D89" s="301">
        <v>125</v>
      </c>
      <c r="E89" s="301">
        <v>100</v>
      </c>
      <c r="F89" s="301"/>
      <c r="G89" s="301"/>
      <c r="H89" s="301"/>
      <c r="I89" s="301">
        <v>120</v>
      </c>
      <c r="J89" s="301"/>
      <c r="K89" s="301"/>
      <c r="L89" s="301"/>
      <c r="M89" s="301"/>
      <c r="N89" s="301"/>
      <c r="O89" s="301"/>
      <c r="P89" s="301"/>
      <c r="Q89" s="301"/>
      <c r="R89" s="301"/>
      <c r="S89" s="299"/>
    </row>
    <row r="90" spans="1:19" s="43" customFormat="1" ht="7.5" thickBot="1">
      <c r="A90" s="100" t="s">
        <v>27</v>
      </c>
      <c r="B90" s="304"/>
      <c r="C90" s="304">
        <v>300</v>
      </c>
      <c r="D90" s="304"/>
      <c r="E90" s="304">
        <v>175</v>
      </c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  <c r="Q90" s="304"/>
      <c r="R90" s="304"/>
      <c r="S90" s="302"/>
    </row>
    <row r="91" spans="1:19" s="43" customFormat="1" ht="11.5" thickTop="1" thickBot="1">
      <c r="A91" s="103" t="s">
        <v>70</v>
      </c>
      <c r="B91" s="51">
        <f>SUM(B88:B90)</f>
        <v>0</v>
      </c>
      <c r="C91" s="51">
        <f>SUM(C88:C90)</f>
        <v>460</v>
      </c>
      <c r="D91" s="51">
        <f>SUM(D88:D90)</f>
        <v>160</v>
      </c>
      <c r="E91" s="51">
        <f>SUM(E88:E90)</f>
        <v>310</v>
      </c>
      <c r="F91" s="51">
        <f>SUM(F88:F90)</f>
        <v>0</v>
      </c>
      <c r="G91" s="51">
        <f t="shared" ref="G91:S91" si="37">SUM(G88:G90)</f>
        <v>0</v>
      </c>
      <c r="H91" s="51">
        <f t="shared" si="37"/>
        <v>0</v>
      </c>
      <c r="I91" s="51">
        <f t="shared" si="37"/>
        <v>155</v>
      </c>
      <c r="J91" s="51">
        <f t="shared" si="37"/>
        <v>0</v>
      </c>
      <c r="K91" s="51">
        <f t="shared" si="37"/>
        <v>0</v>
      </c>
      <c r="L91" s="51">
        <f t="shared" si="37"/>
        <v>0</v>
      </c>
      <c r="M91" s="51">
        <f t="shared" si="37"/>
        <v>0</v>
      </c>
      <c r="N91" s="51">
        <f t="shared" si="37"/>
        <v>0</v>
      </c>
      <c r="O91" s="51">
        <f t="shared" si="37"/>
        <v>0</v>
      </c>
      <c r="P91" s="51">
        <f t="shared" si="37"/>
        <v>0</v>
      </c>
      <c r="Q91" s="51">
        <f t="shared" si="37"/>
        <v>0</v>
      </c>
      <c r="R91" s="51">
        <f t="shared" si="37"/>
        <v>0</v>
      </c>
      <c r="S91" s="66">
        <f t="shared" si="37"/>
        <v>0</v>
      </c>
    </row>
    <row r="92" spans="1:19" s="43" customFormat="1" ht="11.5" thickTop="1" thickBot="1">
      <c r="A92" s="11" t="s">
        <v>72</v>
      </c>
      <c r="B92" s="256" t="str">
        <f t="shared" ref="B92:S92" ca="1" si="38">IF(OR(LEFT(B79,2)="un",LEFT(B79,1)="(",B91&lt;&gt;0,B105&lt;&gt;0, B79="",B80&gt;NOW()),"","Acct Due")</f>
        <v/>
      </c>
      <c r="C92" s="256" t="str">
        <f t="shared" ca="1" si="38"/>
        <v/>
      </c>
      <c r="D92" s="256" t="str">
        <f t="shared" ca="1" si="38"/>
        <v/>
      </c>
      <c r="E92" s="256" t="str">
        <f t="shared" ca="1" si="38"/>
        <v/>
      </c>
      <c r="F92" s="256" t="str">
        <f t="shared" ca="1" si="38"/>
        <v/>
      </c>
      <c r="G92" s="256" t="str">
        <f t="shared" ca="1" si="38"/>
        <v/>
      </c>
      <c r="H92" s="256" t="str">
        <f t="shared" ca="1" si="38"/>
        <v/>
      </c>
      <c r="I92" s="256" t="str">
        <f t="shared" ca="1" si="38"/>
        <v/>
      </c>
      <c r="J92" s="256" t="str">
        <f t="shared" ca="1" si="38"/>
        <v/>
      </c>
      <c r="K92" s="256" t="str">
        <f t="shared" ca="1" si="38"/>
        <v/>
      </c>
      <c r="L92" s="256" t="str">
        <f t="shared" ca="1" si="38"/>
        <v/>
      </c>
      <c r="M92" s="256" t="str">
        <f t="shared" ca="1" si="38"/>
        <v/>
      </c>
      <c r="N92" s="256" t="str">
        <f t="shared" ca="1" si="38"/>
        <v/>
      </c>
      <c r="O92" s="256" t="str">
        <f t="shared" ca="1" si="38"/>
        <v/>
      </c>
      <c r="P92" s="256" t="str">
        <f t="shared" ca="1" si="38"/>
        <v/>
      </c>
      <c r="Q92" s="256" t="str">
        <f t="shared" ca="1" si="38"/>
        <v/>
      </c>
      <c r="R92" s="256" t="str">
        <f t="shared" ca="1" si="38"/>
        <v/>
      </c>
      <c r="S92" s="256" t="str">
        <f t="shared" ca="1" si="38"/>
        <v/>
      </c>
    </row>
    <row r="93" spans="1:19" s="43" customFormat="1" ht="7.5" thickTop="1">
      <c r="A93" s="47" t="s">
        <v>37</v>
      </c>
      <c r="B93" s="298"/>
      <c r="C93" s="298"/>
      <c r="D93" s="298"/>
      <c r="E93" s="298"/>
      <c r="F93" s="298"/>
      <c r="G93" s="298"/>
      <c r="H93" s="298"/>
      <c r="I93" s="298"/>
      <c r="J93" s="298"/>
      <c r="K93" s="298"/>
      <c r="L93" s="298">
        <v>45.5</v>
      </c>
      <c r="M93" s="298"/>
      <c r="N93" s="298"/>
      <c r="O93" s="298"/>
      <c r="P93" s="298"/>
      <c r="Q93" s="298"/>
      <c r="R93" s="298"/>
      <c r="S93" s="296"/>
    </row>
    <row r="94" spans="1:19" s="43" customFormat="1">
      <c r="A94" s="50" t="s">
        <v>38</v>
      </c>
      <c r="B94" s="301"/>
      <c r="C94" s="301">
        <v>196.42</v>
      </c>
      <c r="D94" s="301"/>
      <c r="E94" s="301"/>
      <c r="F94" s="301"/>
      <c r="G94" s="301"/>
      <c r="H94" s="301"/>
      <c r="I94" s="301"/>
      <c r="J94" s="301"/>
      <c r="K94" s="301"/>
      <c r="L94" s="301"/>
      <c r="M94" s="301"/>
      <c r="N94" s="301"/>
      <c r="O94" s="301"/>
      <c r="P94" s="301"/>
      <c r="Q94" s="301"/>
      <c r="R94" s="301"/>
      <c r="S94" s="299"/>
    </row>
    <row r="95" spans="1:19" s="43" customFormat="1">
      <c r="A95" s="50" t="s">
        <v>39</v>
      </c>
      <c r="B95" s="301"/>
      <c r="C95" s="301"/>
      <c r="D95" s="301"/>
      <c r="E95" s="301"/>
      <c r="F95" s="301"/>
      <c r="G95" s="301"/>
      <c r="H95" s="301"/>
      <c r="I95" s="301"/>
      <c r="J95" s="301"/>
      <c r="K95" s="301"/>
      <c r="L95" s="301"/>
      <c r="M95" s="301"/>
      <c r="N95" s="301"/>
      <c r="O95" s="301"/>
      <c r="P95" s="301"/>
      <c r="Q95" s="301"/>
      <c r="R95" s="301"/>
      <c r="S95" s="299"/>
    </row>
    <row r="96" spans="1:19" s="43" customFormat="1">
      <c r="A96" s="52" t="s">
        <v>41</v>
      </c>
      <c r="B96" s="90"/>
      <c r="C96" s="92">
        <f>+'OTHER COSTS'!AM82</f>
        <v>0</v>
      </c>
      <c r="D96" s="92">
        <f>+'OTHER COSTS'!AN82</f>
        <v>0</v>
      </c>
      <c r="E96" s="92">
        <f>+'OTHER COSTS'!AO82</f>
        <v>19.5</v>
      </c>
      <c r="F96" s="90">
        <f>+'OTHER COSTS'!AP82</f>
        <v>0</v>
      </c>
      <c r="G96" s="90">
        <f>+'OTHER COSTS'!AQ82</f>
        <v>0</v>
      </c>
      <c r="H96" s="90">
        <f>+'OTHER COSTS'!AR82</f>
        <v>0</v>
      </c>
      <c r="I96" s="90">
        <f>+'OTHER COSTS'!AS82</f>
        <v>0</v>
      </c>
      <c r="J96" s="90">
        <f>+'OTHER COSTS'!AT82</f>
        <v>0</v>
      </c>
      <c r="K96" s="90">
        <f>+'OTHER COSTS'!AU82</f>
        <v>0</v>
      </c>
      <c r="L96" s="90">
        <f>+'OTHER COSTS'!AV82</f>
        <v>0</v>
      </c>
      <c r="M96" s="92">
        <f>+'OTHER COSTS'!AW82</f>
        <v>0</v>
      </c>
      <c r="N96" s="90">
        <f>+'OTHER COSTS'!AX82</f>
        <v>0</v>
      </c>
      <c r="O96" s="90">
        <f>+'OTHER COSTS'!AY82</f>
        <v>0</v>
      </c>
      <c r="P96" s="90">
        <f>+'OTHER COSTS'!AZ82</f>
        <v>0</v>
      </c>
      <c r="Q96" s="90">
        <f>+'OTHER COSTS'!BA82</f>
        <v>0</v>
      </c>
      <c r="R96" s="90">
        <f>+'OTHER COSTS'!BB82</f>
        <v>0</v>
      </c>
      <c r="S96" s="89">
        <f>+'OTHER COSTS'!BC82</f>
        <v>0</v>
      </c>
    </row>
    <row r="97" spans="1:21" s="43" customFormat="1">
      <c r="A97" s="82" t="s">
        <v>42</v>
      </c>
      <c r="B97" s="46">
        <f>SUM(B93:B96)</f>
        <v>0</v>
      </c>
      <c r="C97" s="46">
        <f>SUM(C93:C96)</f>
        <v>196.42</v>
      </c>
      <c r="D97" s="46">
        <f>SUM(D93:D96)</f>
        <v>0</v>
      </c>
      <c r="E97" s="46">
        <f>SUM(E93:E96)</f>
        <v>19.5</v>
      </c>
      <c r="F97" s="46">
        <f>SUM(F93:F96)</f>
        <v>0</v>
      </c>
      <c r="G97" s="46">
        <f t="shared" ref="G97:S97" si="39">SUM(G93:G96)</f>
        <v>0</v>
      </c>
      <c r="H97" s="46">
        <f t="shared" si="39"/>
        <v>0</v>
      </c>
      <c r="I97" s="46">
        <f t="shared" si="39"/>
        <v>0</v>
      </c>
      <c r="J97" s="46">
        <f t="shared" si="39"/>
        <v>0</v>
      </c>
      <c r="K97" s="46">
        <f t="shared" si="39"/>
        <v>0</v>
      </c>
      <c r="L97" s="46">
        <f t="shared" si="39"/>
        <v>45.5</v>
      </c>
      <c r="M97" s="46">
        <f t="shared" si="39"/>
        <v>0</v>
      </c>
      <c r="N97" s="46">
        <f t="shared" si="39"/>
        <v>0</v>
      </c>
      <c r="O97" s="46">
        <f t="shared" si="39"/>
        <v>0</v>
      </c>
      <c r="P97" s="46">
        <f t="shared" si="39"/>
        <v>0</v>
      </c>
      <c r="Q97" s="46">
        <f t="shared" si="39"/>
        <v>0</v>
      </c>
      <c r="R97" s="46">
        <f t="shared" si="39"/>
        <v>0</v>
      </c>
      <c r="S97" s="42">
        <f t="shared" si="39"/>
        <v>0</v>
      </c>
    </row>
    <row r="98" spans="1:21" s="43" customFormat="1" ht="7.5" thickBot="1">
      <c r="A98" s="83" t="s">
        <v>83</v>
      </c>
      <c r="B98" s="313"/>
      <c r="C98" s="305">
        <v>75</v>
      </c>
      <c r="D98" s="305"/>
      <c r="E98" s="305">
        <v>20</v>
      </c>
      <c r="F98" s="305"/>
      <c r="G98" s="305"/>
      <c r="H98" s="305"/>
      <c r="I98" s="305"/>
      <c r="J98" s="305"/>
      <c r="K98" s="305"/>
      <c r="L98" s="305">
        <v>47</v>
      </c>
      <c r="M98" s="305"/>
      <c r="N98" s="305"/>
      <c r="O98" s="305"/>
      <c r="P98" s="305"/>
      <c r="Q98" s="305"/>
      <c r="R98" s="305"/>
      <c r="S98" s="306"/>
    </row>
    <row r="99" spans="1:21" s="43" customFormat="1" ht="11.5" thickTop="1" thickBot="1">
      <c r="A99" s="84" t="s">
        <v>73</v>
      </c>
      <c r="B99" s="234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405"/>
    </row>
    <row r="100" spans="1:21" s="43" customFormat="1" ht="7.5" thickTop="1">
      <c r="A100" s="47" t="s">
        <v>47</v>
      </c>
      <c r="B100" s="49">
        <f>MAINTENANCE!AM56</f>
        <v>0</v>
      </c>
      <c r="C100" s="49">
        <f>MAINTENANCE!AN56</f>
        <v>2.7</v>
      </c>
      <c r="D100" s="49">
        <f>MAINTENANCE!AO56</f>
        <v>0</v>
      </c>
      <c r="E100" s="49">
        <f>MAINTENANCE!AP56</f>
        <v>0</v>
      </c>
      <c r="F100" s="49">
        <f>MAINTENANCE!AQ56</f>
        <v>0</v>
      </c>
      <c r="G100" s="49">
        <f>MAINTENANCE!AR56</f>
        <v>0</v>
      </c>
      <c r="H100" s="49">
        <f>MAINTENANCE!AS56</f>
        <v>0</v>
      </c>
      <c r="I100" s="49">
        <f>MAINTENANCE!AT56</f>
        <v>0</v>
      </c>
      <c r="J100" s="49">
        <f>MAINTENANCE!AU56</f>
        <v>0</v>
      </c>
      <c r="K100" s="49">
        <f>MAINTENANCE!AV56</f>
        <v>0</v>
      </c>
      <c r="L100" s="49">
        <f>MAINTENANCE!AW56</f>
        <v>0</v>
      </c>
      <c r="M100" s="49">
        <f>MAINTENANCE!AX56</f>
        <v>0</v>
      </c>
      <c r="N100" s="49">
        <f>MAINTENANCE!AY56</f>
        <v>588</v>
      </c>
      <c r="O100" s="49">
        <f>MAINTENANCE!AZ56</f>
        <v>0</v>
      </c>
      <c r="P100" s="49">
        <f>MAINTENANCE!BA56</f>
        <v>0</v>
      </c>
      <c r="Q100" s="49">
        <f>MAINTENANCE!BB56</f>
        <v>0</v>
      </c>
      <c r="R100" s="49">
        <f>MAINTENANCE!BC56</f>
        <v>68</v>
      </c>
      <c r="S100" s="76">
        <f>MAINTENANCE!BD56</f>
        <v>0</v>
      </c>
    </row>
    <row r="101" spans="1:21" s="43" customFormat="1">
      <c r="A101" s="50" t="s">
        <v>113</v>
      </c>
      <c r="B101" s="281">
        <f>'OTHER COSTS'!AL38+'OTHER COSTS'!AL45</f>
        <v>0</v>
      </c>
      <c r="C101" s="66">
        <f>'OTHER COSTS'!AM38+'OTHER COSTS'!AM45</f>
        <v>0</v>
      </c>
      <c r="D101" s="66">
        <f>'OTHER COSTS'!AN38+'OTHER COSTS'!AN45</f>
        <v>0</v>
      </c>
      <c r="E101" s="66">
        <f>'OTHER COSTS'!AO38+'OTHER COSTS'!AO45</f>
        <v>15</v>
      </c>
      <c r="F101" s="66">
        <f>'OTHER COSTS'!AP38+'OTHER COSTS'!AP45</f>
        <v>0</v>
      </c>
      <c r="G101" s="66">
        <f>'OTHER COSTS'!AQ38+'OTHER COSTS'!AQ45</f>
        <v>0</v>
      </c>
      <c r="H101" s="66">
        <f>'OTHER COSTS'!AR38+'OTHER COSTS'!AR45</f>
        <v>0</v>
      </c>
      <c r="I101" s="66">
        <f>'OTHER COSTS'!AS38+'OTHER COSTS'!AS45</f>
        <v>0</v>
      </c>
      <c r="J101" s="66">
        <f>'OTHER COSTS'!AT38+'OTHER COSTS'!AT45</f>
        <v>0</v>
      </c>
      <c r="K101" s="66">
        <f>'OTHER COSTS'!AU38+'OTHER COSTS'!AU45</f>
        <v>0</v>
      </c>
      <c r="L101" s="66">
        <f>'OTHER COSTS'!AV38+'OTHER COSTS'!AV45</f>
        <v>0</v>
      </c>
      <c r="M101" s="66">
        <f>'OTHER COSTS'!AW38+'OTHER COSTS'!AW45</f>
        <v>0</v>
      </c>
      <c r="N101" s="66">
        <f>'OTHER COSTS'!AX38+'OTHER COSTS'!AX45</f>
        <v>0</v>
      </c>
      <c r="O101" s="66">
        <f>'OTHER COSTS'!AY38+'OTHER COSTS'!AY45</f>
        <v>0</v>
      </c>
      <c r="P101" s="66">
        <f>'OTHER COSTS'!AZ38+'OTHER COSTS'!AZ45</f>
        <v>0</v>
      </c>
      <c r="Q101" s="66">
        <f>'OTHER COSTS'!BA38+'OTHER COSTS'!BA45</f>
        <v>144</v>
      </c>
      <c r="R101" s="51">
        <f>'OTHER COSTS'!BB38+'OTHER COSTS'!BB45</f>
        <v>0</v>
      </c>
      <c r="S101" s="66">
        <f>'OTHER COSTS'!BC38+'OTHER COSTS'!BC45</f>
        <v>0</v>
      </c>
    </row>
    <row r="102" spans="1:21" s="43" customFormat="1">
      <c r="A102" s="661" t="s">
        <v>198</v>
      </c>
      <c r="B102" s="51">
        <f>'OTHER COSTS'!AL56</f>
        <v>0</v>
      </c>
      <c r="C102" s="51">
        <f>'OTHER COSTS'!AM56</f>
        <v>0</v>
      </c>
      <c r="D102" s="51">
        <f>'OTHER COSTS'!AN56</f>
        <v>0</v>
      </c>
      <c r="E102" s="51">
        <f>'OTHER COSTS'!AO56</f>
        <v>0</v>
      </c>
      <c r="F102" s="51">
        <f>'OTHER COSTS'!AP56</f>
        <v>0</v>
      </c>
      <c r="G102" s="51">
        <f>'OTHER COSTS'!AQ56</f>
        <v>0</v>
      </c>
      <c r="H102" s="51">
        <f>'OTHER COSTS'!AR56</f>
        <v>0</v>
      </c>
      <c r="I102" s="51">
        <f>'OTHER COSTS'!AS56</f>
        <v>0</v>
      </c>
      <c r="J102" s="51">
        <f>'OTHER COSTS'!AT56</f>
        <v>0</v>
      </c>
      <c r="K102" s="51">
        <f>'OTHER COSTS'!AU56</f>
        <v>0</v>
      </c>
      <c r="L102" s="51">
        <f>'OTHER COSTS'!AV56</f>
        <v>0</v>
      </c>
      <c r="M102" s="51">
        <f>'OTHER COSTS'!AW56</f>
        <v>0</v>
      </c>
      <c r="N102" s="51">
        <f>'OTHER COSTS'!AX56</f>
        <v>0</v>
      </c>
      <c r="O102" s="51">
        <f>'OTHER COSTS'!AY56</f>
        <v>0</v>
      </c>
      <c r="P102" s="51">
        <v>96</v>
      </c>
      <c r="Q102" s="51">
        <f>'OTHER COSTS'!BA56</f>
        <v>0</v>
      </c>
      <c r="R102" s="51">
        <f>'OTHER COSTS'!BB56</f>
        <v>0</v>
      </c>
      <c r="S102" s="66">
        <f>'OTHER COSTS'!BC56</f>
        <v>0</v>
      </c>
    </row>
    <row r="103" spans="1:21" s="43" customFormat="1">
      <c r="A103" s="52" t="s">
        <v>49</v>
      </c>
      <c r="B103" s="309"/>
      <c r="C103" s="309"/>
      <c r="D103" s="309"/>
      <c r="E103" s="309"/>
      <c r="F103" s="309"/>
      <c r="G103" s="309"/>
      <c r="H103" s="309"/>
      <c r="I103" s="309"/>
      <c r="J103" s="309"/>
      <c r="K103" s="309"/>
      <c r="L103" s="309"/>
      <c r="M103" s="309"/>
      <c r="N103" s="309"/>
      <c r="O103" s="309">
        <v>-1075.24</v>
      </c>
      <c r="P103" s="309"/>
      <c r="Q103" s="309"/>
      <c r="R103" s="309"/>
      <c r="S103" s="307"/>
    </row>
    <row r="104" spans="1:21" s="43" customFormat="1" ht="7.5" thickBot="1">
      <c r="A104" s="82" t="s">
        <v>74</v>
      </c>
      <c r="B104" s="46">
        <f>SUM(B100:B103)</f>
        <v>0</v>
      </c>
      <c r="C104" s="46">
        <f>SUM(C100:C103)</f>
        <v>2.7</v>
      </c>
      <c r="D104" s="46">
        <f>SUM(D100:D103)</f>
        <v>0</v>
      </c>
      <c r="E104" s="46">
        <f>SUM(E100:E103)</f>
        <v>15</v>
      </c>
      <c r="F104" s="46">
        <f>SUM(F100:F103)</f>
        <v>0</v>
      </c>
      <c r="G104" s="46">
        <f t="shared" ref="G104:S104" si="40">SUM(G100:G103)</f>
        <v>0</v>
      </c>
      <c r="H104" s="46">
        <f t="shared" si="40"/>
        <v>0</v>
      </c>
      <c r="I104" s="46">
        <f t="shared" si="40"/>
        <v>0</v>
      </c>
      <c r="J104" s="46">
        <f t="shared" si="40"/>
        <v>0</v>
      </c>
      <c r="K104" s="46">
        <f t="shared" si="40"/>
        <v>0</v>
      </c>
      <c r="L104" s="46">
        <f t="shared" si="40"/>
        <v>0</v>
      </c>
      <c r="M104" s="46">
        <f t="shared" si="40"/>
        <v>0</v>
      </c>
      <c r="N104" s="46">
        <f t="shared" si="40"/>
        <v>588</v>
      </c>
      <c r="O104" s="46">
        <f t="shared" si="40"/>
        <v>-1075.24</v>
      </c>
      <c r="P104" s="46">
        <f t="shared" si="40"/>
        <v>96</v>
      </c>
      <c r="Q104" s="46">
        <f t="shared" si="40"/>
        <v>144</v>
      </c>
      <c r="R104" s="46">
        <f t="shared" si="40"/>
        <v>68</v>
      </c>
      <c r="S104" s="42">
        <f t="shared" si="40"/>
        <v>0</v>
      </c>
    </row>
    <row r="105" spans="1:21" s="43" customFormat="1" ht="11.5" thickTop="1" thickBot="1">
      <c r="A105" s="254" t="s">
        <v>53</v>
      </c>
      <c r="B105" s="49">
        <f>SUM(B98:B103)+B97</f>
        <v>0</v>
      </c>
      <c r="C105" s="49">
        <f>SUM(C98:C103)+C97</f>
        <v>274.12</v>
      </c>
      <c r="D105" s="49">
        <f>SUM(D98:D103)+D97</f>
        <v>0</v>
      </c>
      <c r="E105" s="49">
        <f>SUM(E98:E103)+E97</f>
        <v>54.5</v>
      </c>
      <c r="F105" s="49">
        <f>SUM(F98:F103)+F97</f>
        <v>0</v>
      </c>
      <c r="G105" s="49">
        <f t="shared" ref="G105:R105" si="41">SUM(G98:G103)+G97</f>
        <v>0</v>
      </c>
      <c r="H105" s="49">
        <f t="shared" si="41"/>
        <v>0</v>
      </c>
      <c r="I105" s="49">
        <f t="shared" si="41"/>
        <v>0</v>
      </c>
      <c r="J105" s="49">
        <f t="shared" si="41"/>
        <v>0</v>
      </c>
      <c r="K105" s="49">
        <f t="shared" si="41"/>
        <v>0</v>
      </c>
      <c r="L105" s="49">
        <f t="shared" si="41"/>
        <v>92.5</v>
      </c>
      <c r="M105" s="49">
        <f t="shared" si="41"/>
        <v>0</v>
      </c>
      <c r="N105" s="49">
        <f t="shared" si="41"/>
        <v>588</v>
      </c>
      <c r="O105" s="49">
        <f t="shared" si="41"/>
        <v>-1075.24</v>
      </c>
      <c r="P105" s="49">
        <f t="shared" si="41"/>
        <v>96</v>
      </c>
      <c r="Q105" s="49">
        <f t="shared" si="41"/>
        <v>144</v>
      </c>
      <c r="R105" s="49">
        <f t="shared" si="41"/>
        <v>68</v>
      </c>
      <c r="S105" s="76">
        <f>SUM(S98:S103)+S97</f>
        <v>0</v>
      </c>
    </row>
    <row r="106" spans="1:21" s="43" customFormat="1" ht="8" thickTop="1" thickBot="1">
      <c r="A106" s="258" t="s">
        <v>119</v>
      </c>
      <c r="B106" s="261">
        <f>B91-B105</f>
        <v>0</v>
      </c>
      <c r="C106" s="262">
        <f>C91-C105</f>
        <v>185.88</v>
      </c>
      <c r="D106" s="262">
        <f>D91-D105</f>
        <v>160</v>
      </c>
      <c r="E106" s="262">
        <f>E91-E105</f>
        <v>255.5</v>
      </c>
      <c r="F106" s="262">
        <f>F91-F105</f>
        <v>0</v>
      </c>
      <c r="G106" s="262">
        <f t="shared" ref="G106:S106" si="42">G91-G105</f>
        <v>0</v>
      </c>
      <c r="H106" s="262">
        <f t="shared" si="42"/>
        <v>0</v>
      </c>
      <c r="I106" s="262">
        <f t="shared" si="42"/>
        <v>155</v>
      </c>
      <c r="J106" s="262">
        <f t="shared" si="42"/>
        <v>0</v>
      </c>
      <c r="K106" s="262">
        <f t="shared" si="42"/>
        <v>0</v>
      </c>
      <c r="L106" s="262">
        <f t="shared" si="42"/>
        <v>-92.5</v>
      </c>
      <c r="M106" s="262">
        <f t="shared" si="42"/>
        <v>0</v>
      </c>
      <c r="N106" s="262">
        <f t="shared" si="42"/>
        <v>-588</v>
      </c>
      <c r="O106" s="262">
        <f t="shared" si="42"/>
        <v>1075.24</v>
      </c>
      <c r="P106" s="262">
        <f t="shared" si="42"/>
        <v>-96</v>
      </c>
      <c r="Q106" s="262">
        <f t="shared" si="42"/>
        <v>-144</v>
      </c>
      <c r="R106" s="492">
        <f t="shared" si="42"/>
        <v>-68</v>
      </c>
      <c r="S106" s="259">
        <f t="shared" si="42"/>
        <v>0</v>
      </c>
    </row>
    <row r="107" spans="1:21" s="194" customFormat="1" ht="8" thickTop="1" thickBot="1">
      <c r="A107" s="86" t="s">
        <v>118</v>
      </c>
      <c r="B107" s="310" t="str">
        <f t="shared" ref="B107:S107" si="43">IF(B106=0,"","post bal.")</f>
        <v/>
      </c>
      <c r="C107" s="310" t="s">
        <v>235</v>
      </c>
      <c r="D107" s="310" t="s">
        <v>232</v>
      </c>
      <c r="E107" s="310" t="s">
        <v>235</v>
      </c>
      <c r="F107" s="310" t="str">
        <f t="shared" si="43"/>
        <v/>
      </c>
      <c r="G107" s="310" t="str">
        <f t="shared" si="43"/>
        <v/>
      </c>
      <c r="H107" s="310" t="str">
        <f t="shared" si="43"/>
        <v/>
      </c>
      <c r="I107" s="310" t="s">
        <v>232</v>
      </c>
      <c r="J107" s="310" t="str">
        <f t="shared" si="43"/>
        <v/>
      </c>
      <c r="K107" s="310" t="str">
        <f t="shared" si="43"/>
        <v/>
      </c>
      <c r="L107" s="310" t="s">
        <v>235</v>
      </c>
      <c r="M107" s="310" t="str">
        <f t="shared" si="43"/>
        <v/>
      </c>
      <c r="N107" s="310" t="s">
        <v>250</v>
      </c>
      <c r="O107" s="310" t="s">
        <v>232</v>
      </c>
      <c r="P107" s="310" t="s">
        <v>232</v>
      </c>
      <c r="Q107" s="310" t="s">
        <v>235</v>
      </c>
      <c r="R107" s="310" t="s">
        <v>232</v>
      </c>
      <c r="S107" s="310" t="str">
        <f t="shared" si="43"/>
        <v/>
      </c>
      <c r="T107" s="178"/>
      <c r="U107" s="178"/>
    </row>
    <row r="108" spans="1:21" s="231" customFormat="1" ht="7.5" hidden="1" thickTop="1">
      <c r="A108" s="228" t="s">
        <v>104</v>
      </c>
      <c r="B108" s="230">
        <f t="shared" ref="B108:S108" si="44">IF(B107="post bal.",B106,0)</f>
        <v>0</v>
      </c>
      <c r="C108" s="230">
        <f t="shared" si="44"/>
        <v>0</v>
      </c>
      <c r="D108" s="230">
        <f t="shared" si="44"/>
        <v>0</v>
      </c>
      <c r="E108" s="230">
        <f t="shared" si="44"/>
        <v>0</v>
      </c>
      <c r="F108" s="230">
        <f t="shared" si="44"/>
        <v>0</v>
      </c>
      <c r="G108" s="230">
        <f t="shared" si="44"/>
        <v>0</v>
      </c>
      <c r="H108" s="230">
        <f t="shared" si="44"/>
        <v>0</v>
      </c>
      <c r="I108" s="230">
        <f t="shared" si="44"/>
        <v>0</v>
      </c>
      <c r="J108" s="230">
        <f t="shared" si="44"/>
        <v>0</v>
      </c>
      <c r="K108" s="230">
        <f t="shared" si="44"/>
        <v>0</v>
      </c>
      <c r="L108" s="230">
        <f t="shared" si="44"/>
        <v>0</v>
      </c>
      <c r="M108" s="230">
        <f t="shared" si="44"/>
        <v>0</v>
      </c>
      <c r="N108" s="230">
        <f t="shared" si="44"/>
        <v>0</v>
      </c>
      <c r="O108" s="230">
        <f t="shared" si="44"/>
        <v>0</v>
      </c>
      <c r="P108" s="230">
        <f t="shared" si="44"/>
        <v>0</v>
      </c>
      <c r="Q108" s="230">
        <f t="shared" si="44"/>
        <v>0</v>
      </c>
      <c r="R108" s="230">
        <f t="shared" si="44"/>
        <v>0</v>
      </c>
      <c r="S108" s="230">
        <f t="shared" si="44"/>
        <v>0</v>
      </c>
      <c r="T108" s="230">
        <f>IF(T107="post bal.",T105,0)</f>
        <v>0</v>
      </c>
      <c r="U108" s="230">
        <f>IF(U107="post bal.",U105,0)</f>
        <v>0</v>
      </c>
    </row>
    <row r="109" spans="1:21" s="229" customFormat="1" hidden="1">
      <c r="A109" s="228" t="s">
        <v>105</v>
      </c>
      <c r="B109" s="229">
        <f t="shared" ref="B109:S109" si="45">IF(B79="Insurance",B103,0)</f>
        <v>0</v>
      </c>
      <c r="C109" s="229">
        <f t="shared" si="45"/>
        <v>0</v>
      </c>
      <c r="D109" s="229">
        <f t="shared" si="45"/>
        <v>0</v>
      </c>
      <c r="E109" s="229">
        <f t="shared" si="45"/>
        <v>0</v>
      </c>
      <c r="F109" s="229">
        <f t="shared" si="45"/>
        <v>0</v>
      </c>
      <c r="G109" s="229">
        <f t="shared" si="45"/>
        <v>0</v>
      </c>
      <c r="H109" s="229">
        <f t="shared" si="45"/>
        <v>0</v>
      </c>
      <c r="I109" s="229">
        <f t="shared" si="45"/>
        <v>0</v>
      </c>
      <c r="J109" s="229">
        <f t="shared" si="45"/>
        <v>0</v>
      </c>
      <c r="K109" s="229">
        <f t="shared" si="45"/>
        <v>0</v>
      </c>
      <c r="L109" s="229">
        <f t="shared" si="45"/>
        <v>0</v>
      </c>
      <c r="M109" s="229">
        <f t="shared" si="45"/>
        <v>0</v>
      </c>
      <c r="N109" s="229">
        <f t="shared" si="45"/>
        <v>0</v>
      </c>
      <c r="O109" s="229">
        <f t="shared" si="45"/>
        <v>0</v>
      </c>
      <c r="P109" s="229">
        <f t="shared" si="45"/>
        <v>0</v>
      </c>
      <c r="Q109" s="229">
        <f t="shared" si="45"/>
        <v>0</v>
      </c>
      <c r="R109" s="229">
        <f t="shared" si="45"/>
        <v>0</v>
      </c>
      <c r="S109" s="229">
        <f t="shared" si="45"/>
        <v>0</v>
      </c>
    </row>
    <row r="110" spans="1:21" s="229" customFormat="1" hidden="1">
      <c r="A110" s="228" t="s">
        <v>207</v>
      </c>
      <c r="B110" s="229">
        <f>IF(B79="RCR",B103,0)</f>
        <v>0</v>
      </c>
      <c r="C110" s="229">
        <f t="shared" ref="C110:S110" si="46">IF(C79="RCR",C103,0)</f>
        <v>0</v>
      </c>
      <c r="D110" s="229">
        <f t="shared" si="46"/>
        <v>0</v>
      </c>
      <c r="E110" s="229">
        <f t="shared" si="46"/>
        <v>0</v>
      </c>
      <c r="F110" s="229">
        <f t="shared" si="46"/>
        <v>0</v>
      </c>
      <c r="G110" s="229">
        <f t="shared" si="46"/>
        <v>0</v>
      </c>
      <c r="H110" s="229">
        <f t="shared" si="46"/>
        <v>0</v>
      </c>
      <c r="I110" s="229">
        <f t="shared" si="46"/>
        <v>0</v>
      </c>
      <c r="J110" s="229">
        <f t="shared" si="46"/>
        <v>0</v>
      </c>
      <c r="K110" s="229">
        <f t="shared" si="46"/>
        <v>0</v>
      </c>
      <c r="L110" s="229">
        <f t="shared" si="46"/>
        <v>0</v>
      </c>
      <c r="M110" s="229">
        <f t="shared" si="46"/>
        <v>0</v>
      </c>
      <c r="N110" s="229">
        <f t="shared" si="46"/>
        <v>0</v>
      </c>
      <c r="O110" s="229">
        <f t="shared" si="46"/>
        <v>0</v>
      </c>
      <c r="P110" s="229">
        <f t="shared" si="46"/>
        <v>0</v>
      </c>
      <c r="Q110" s="229">
        <f t="shared" si="46"/>
        <v>0</v>
      </c>
      <c r="R110" s="229">
        <f t="shared" si="46"/>
        <v>0</v>
      </c>
      <c r="S110" s="229">
        <f t="shared" si="46"/>
        <v>0</v>
      </c>
    </row>
    <row r="111" spans="1:21" s="229" customFormat="1" hidden="1">
      <c r="A111" s="228" t="s">
        <v>106</v>
      </c>
      <c r="B111" s="229">
        <f t="shared" ref="B111:S111" si="47">IF(B79="Mooring",B104,0)</f>
        <v>0</v>
      </c>
      <c r="C111" s="229">
        <f t="shared" si="47"/>
        <v>0</v>
      </c>
      <c r="D111" s="229">
        <f t="shared" si="47"/>
        <v>0</v>
      </c>
      <c r="E111" s="229">
        <f t="shared" si="47"/>
        <v>0</v>
      </c>
      <c r="F111" s="229">
        <f t="shared" si="47"/>
        <v>0</v>
      </c>
      <c r="G111" s="229">
        <f t="shared" si="47"/>
        <v>0</v>
      </c>
      <c r="H111" s="229">
        <f t="shared" si="47"/>
        <v>0</v>
      </c>
      <c r="I111" s="229">
        <f t="shared" si="47"/>
        <v>0</v>
      </c>
      <c r="J111" s="229">
        <f t="shared" si="47"/>
        <v>0</v>
      </c>
      <c r="K111" s="229">
        <f t="shared" si="47"/>
        <v>0</v>
      </c>
      <c r="L111" s="229">
        <f t="shared" si="47"/>
        <v>0</v>
      </c>
      <c r="M111" s="229">
        <f t="shared" si="47"/>
        <v>0</v>
      </c>
      <c r="N111" s="229">
        <f t="shared" si="47"/>
        <v>0</v>
      </c>
      <c r="O111" s="229">
        <f t="shared" si="47"/>
        <v>0</v>
      </c>
      <c r="P111" s="229">
        <f t="shared" si="47"/>
        <v>0</v>
      </c>
      <c r="Q111" s="229">
        <f t="shared" si="47"/>
        <v>0</v>
      </c>
      <c r="R111" s="229">
        <f t="shared" si="47"/>
        <v>0</v>
      </c>
      <c r="S111" s="229">
        <f t="shared" si="47"/>
        <v>0</v>
      </c>
    </row>
    <row r="112" spans="1:21" s="229" customFormat="1" hidden="1">
      <c r="A112" s="228" t="s">
        <v>107</v>
      </c>
      <c r="B112" s="229">
        <f t="shared" ref="B112:S112" si="48">IF(B79="Licence",B105,0)</f>
        <v>0</v>
      </c>
      <c r="C112" s="229">
        <f t="shared" si="48"/>
        <v>0</v>
      </c>
      <c r="D112" s="229">
        <f t="shared" si="48"/>
        <v>0</v>
      </c>
      <c r="E112" s="229">
        <f t="shared" si="48"/>
        <v>0</v>
      </c>
      <c r="F112" s="229">
        <f t="shared" si="48"/>
        <v>0</v>
      </c>
      <c r="G112" s="229">
        <f t="shared" si="48"/>
        <v>0</v>
      </c>
      <c r="H112" s="229">
        <f t="shared" si="48"/>
        <v>0</v>
      </c>
      <c r="I112" s="229">
        <f t="shared" si="48"/>
        <v>0</v>
      </c>
      <c r="J112" s="229">
        <f t="shared" si="48"/>
        <v>0</v>
      </c>
      <c r="K112" s="229">
        <f t="shared" si="48"/>
        <v>0</v>
      </c>
      <c r="L112" s="229">
        <f t="shared" si="48"/>
        <v>0</v>
      </c>
      <c r="M112" s="229">
        <f t="shared" si="48"/>
        <v>0</v>
      </c>
      <c r="N112" s="229">
        <f t="shared" si="48"/>
        <v>0</v>
      </c>
      <c r="O112" s="229">
        <f t="shared" si="48"/>
        <v>-1075.24</v>
      </c>
      <c r="P112" s="229">
        <f t="shared" si="48"/>
        <v>0</v>
      </c>
      <c r="Q112" s="229">
        <f t="shared" si="48"/>
        <v>0</v>
      </c>
      <c r="R112" s="229">
        <f t="shared" si="48"/>
        <v>0</v>
      </c>
      <c r="S112" s="229">
        <f t="shared" si="48"/>
        <v>0</v>
      </c>
    </row>
    <row r="113" spans="1:219" s="238" customFormat="1" ht="7.5" hidden="1" thickBot="1">
      <c r="A113" s="237" t="s">
        <v>108</v>
      </c>
      <c r="B113" s="238">
        <f>B103-SUM(B109:B112)</f>
        <v>0</v>
      </c>
      <c r="C113" s="238">
        <f>C103-SUM(C109:C112)</f>
        <v>0</v>
      </c>
      <c r="D113" s="238">
        <f>D103-SUM(D109:D112)</f>
        <v>0</v>
      </c>
      <c r="E113" s="238">
        <f t="shared" ref="E113:R113" si="49">E103-SUM(E109:E112)</f>
        <v>0</v>
      </c>
      <c r="F113" s="238">
        <f t="shared" si="49"/>
        <v>0</v>
      </c>
      <c r="G113" s="238">
        <f t="shared" si="49"/>
        <v>0</v>
      </c>
      <c r="H113" s="238">
        <f t="shared" si="49"/>
        <v>0</v>
      </c>
      <c r="I113" s="238">
        <f t="shared" si="49"/>
        <v>0</v>
      </c>
      <c r="J113" s="238">
        <f t="shared" si="49"/>
        <v>0</v>
      </c>
      <c r="K113" s="238">
        <f t="shared" si="49"/>
        <v>0</v>
      </c>
      <c r="L113" s="238">
        <f t="shared" si="49"/>
        <v>0</v>
      </c>
      <c r="M113" s="238">
        <f t="shared" si="49"/>
        <v>0</v>
      </c>
      <c r="N113" s="238">
        <f t="shared" si="49"/>
        <v>0</v>
      </c>
      <c r="O113" s="238">
        <f t="shared" si="49"/>
        <v>0</v>
      </c>
      <c r="P113" s="238">
        <f t="shared" si="49"/>
        <v>0</v>
      </c>
      <c r="Q113" s="238">
        <f t="shared" si="49"/>
        <v>0</v>
      </c>
      <c r="R113" s="238">
        <f t="shared" si="49"/>
        <v>0</v>
      </c>
      <c r="S113" s="238">
        <f>S103-SUM(S109:S112)</f>
        <v>0</v>
      </c>
    </row>
    <row r="114" spans="1:219" ht="7.5" thickTop="1">
      <c r="B114" s="43"/>
      <c r="C114" s="43"/>
      <c r="D114" s="43"/>
      <c r="J114" s="2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14"/>
      <c r="FB114" s="14"/>
      <c r="FC114" s="14"/>
      <c r="FD114" s="14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  <c r="FW114" s="14"/>
      <c r="FX114" s="14"/>
      <c r="FY114" s="14"/>
      <c r="FZ114" s="14"/>
      <c r="GA114" s="14"/>
      <c r="GB114" s="14"/>
      <c r="GC114" s="14"/>
      <c r="GD114" s="14"/>
      <c r="GE114" s="14"/>
      <c r="GF114" s="14"/>
      <c r="GG114" s="14"/>
      <c r="GH114" s="14"/>
      <c r="GI114" s="14"/>
      <c r="GJ114" s="14"/>
      <c r="GK114" s="14"/>
      <c r="GL114" s="14"/>
      <c r="GM114" s="14"/>
      <c r="GN114" s="14"/>
      <c r="GO114" s="14"/>
      <c r="GP114" s="14"/>
      <c r="GQ114" s="14"/>
      <c r="GR114" s="14"/>
      <c r="GS114" s="14"/>
      <c r="GT114" s="14"/>
      <c r="GU114" s="14"/>
      <c r="GV114" s="14"/>
      <c r="GW114" s="14"/>
      <c r="GX114" s="14"/>
      <c r="GY114" s="14"/>
      <c r="GZ114" s="14"/>
      <c r="HA114" s="14"/>
      <c r="HB114" s="14"/>
      <c r="HC114" s="14"/>
      <c r="HD114" s="14"/>
      <c r="HE114" s="14"/>
      <c r="HF114" s="14"/>
      <c r="HG114" s="14"/>
      <c r="HH114" s="14"/>
      <c r="HI114" s="14"/>
      <c r="HJ114" s="14"/>
      <c r="HK114" s="14"/>
    </row>
    <row r="115" spans="1:219" s="43" customFormat="1" ht="11.5" hidden="1" thickTop="1" thickBot="1">
      <c r="A115" s="11" t="s">
        <v>128</v>
      </c>
      <c r="H115" s="471"/>
      <c r="I115" s="14"/>
      <c r="J115" s="58"/>
      <c r="L115" s="472"/>
      <c r="M115" s="473"/>
      <c r="N115" s="14"/>
      <c r="O115" s="14"/>
      <c r="P115" s="14"/>
      <c r="Q115" s="14"/>
      <c r="R115" s="14"/>
      <c r="S115" s="14"/>
    </row>
    <row r="116" spans="1:219" s="43" customFormat="1" ht="7.5" hidden="1" thickTop="1">
      <c r="A116" s="78" t="s">
        <v>68</v>
      </c>
      <c r="B116" s="288" t="s">
        <v>144</v>
      </c>
      <c r="C116" s="288" t="s">
        <v>144</v>
      </c>
      <c r="D116" s="288" t="s">
        <v>144</v>
      </c>
      <c r="E116" s="288" t="s">
        <v>144</v>
      </c>
      <c r="F116" s="386"/>
      <c r="G116" s="14"/>
      <c r="H116" s="479"/>
      <c r="I116" s="109"/>
      <c r="J116" s="109"/>
      <c r="K116" s="109"/>
      <c r="L116"/>
      <c r="M116" s="474"/>
      <c r="N116" s="474"/>
      <c r="O116" s="474"/>
      <c r="P116" s="474"/>
      <c r="Q116" s="474"/>
      <c r="R116" s="474"/>
      <c r="S116" s="474"/>
      <c r="U116" s="23" t="s">
        <v>10</v>
      </c>
    </row>
    <row r="117" spans="1:219" s="43" customFormat="1" hidden="1">
      <c r="A117" s="7" t="s">
        <v>69</v>
      </c>
      <c r="B117" s="209">
        <f>S80+7</f>
        <v>45695</v>
      </c>
      <c r="C117" s="77">
        <f>B117+7</f>
        <v>45702</v>
      </c>
      <c r="D117" s="77">
        <f>C117+7</f>
        <v>45709</v>
      </c>
      <c r="E117" s="77">
        <f>D117+7</f>
        <v>45716</v>
      </c>
      <c r="F117" s="80"/>
      <c r="G117" s="80"/>
      <c r="H117" s="474"/>
      <c r="I117" s="109"/>
      <c r="J117" s="109"/>
      <c r="K117" s="109"/>
      <c r="L117"/>
      <c r="M117" s="474"/>
      <c r="N117" s="474"/>
      <c r="O117" s="474"/>
      <c r="P117" s="474"/>
      <c r="Q117" s="474"/>
      <c r="R117" s="474"/>
      <c r="S117" s="474"/>
      <c r="U117" s="80"/>
    </row>
    <row r="118" spans="1:219" s="43" customFormat="1" hidden="1">
      <c r="A118" s="93" t="s">
        <v>12</v>
      </c>
      <c r="B118" s="292"/>
      <c r="C118" s="290"/>
      <c r="D118" s="290"/>
      <c r="E118" s="290"/>
      <c r="F118" s="387"/>
      <c r="G118" s="87"/>
      <c r="H118" s="474"/>
      <c r="I118" s="109"/>
      <c r="J118" s="109"/>
      <c r="K118" s="109"/>
      <c r="L118"/>
      <c r="M118" s="474"/>
      <c r="N118" s="474"/>
      <c r="O118" s="474"/>
      <c r="P118" s="474"/>
      <c r="Q118" s="474"/>
      <c r="R118" s="474"/>
      <c r="S118" s="474"/>
      <c r="U118" s="96">
        <f>SUM(7:7)+SUM(44:44)+SUM(81:81)+SUM(B118:E118)</f>
        <v>31</v>
      </c>
    </row>
    <row r="119" spans="1:219" s="43" customFormat="1" ht="7.5" hidden="1" thickBot="1">
      <c r="A119" s="97" t="s">
        <v>13</v>
      </c>
      <c r="B119" s="295"/>
      <c r="C119" s="293"/>
      <c r="D119" s="293"/>
      <c r="E119" s="293"/>
      <c r="F119" s="387"/>
      <c r="G119" s="87"/>
      <c r="H119" s="474"/>
      <c r="I119" s="109"/>
      <c r="J119" s="109"/>
      <c r="K119" s="109"/>
      <c r="L119"/>
      <c r="M119" s="474"/>
      <c r="N119" s="474"/>
      <c r="O119" s="474"/>
      <c r="P119" s="474"/>
      <c r="Q119" s="474"/>
      <c r="R119" s="474"/>
      <c r="S119" s="474"/>
      <c r="U119" s="96">
        <f>SUM(8:8)+SUM(45:45)+SUM(82:82)+SUM(B119:E119)</f>
        <v>45</v>
      </c>
    </row>
    <row r="120" spans="1:219" s="241" customFormat="1" ht="9.75" hidden="1" customHeight="1" thickTop="1">
      <c r="A120" s="239" t="s">
        <v>111</v>
      </c>
      <c r="B120" s="260">
        <f>IF(OR(ISTEXT(B117),B117=0),Summary!$E$1-7,B117-MOD(B117-Summary!$E$1,7))</f>
        <v>45694</v>
      </c>
      <c r="C120" s="240">
        <v>44819</v>
      </c>
      <c r="D120" s="240">
        <f>IF(OR(ISTEXT(D117),D117=0),Summary!$E$1-7,D117-MOD(D117-Summary!$E$1,7))</f>
        <v>45708</v>
      </c>
      <c r="E120" s="240">
        <f>IF(OR(ISTEXT(E117),E117=0),Summary!$E$1-7,E117-MOD(E117-Summary!$E$1,7))</f>
        <v>45715</v>
      </c>
      <c r="F120" s="388"/>
      <c r="H120" s="474"/>
      <c r="I120" s="109"/>
      <c r="J120" s="109"/>
      <c r="K120" s="109"/>
      <c r="L120"/>
      <c r="M120" s="474"/>
      <c r="N120" s="474"/>
      <c r="O120" s="474"/>
      <c r="P120" s="474"/>
      <c r="Q120" s="474"/>
      <c r="R120" s="474"/>
      <c r="S120" s="474"/>
    </row>
    <row r="121" spans="1:219" s="241" customFormat="1" ht="9.75" hidden="1" customHeight="1">
      <c r="A121" s="233" t="s">
        <v>121</v>
      </c>
      <c r="B121" s="282">
        <f>IF(B118=0,0,1)</f>
        <v>0</v>
      </c>
      <c r="C121" s="284">
        <f>IF(C118=0,0,1)</f>
        <v>0</v>
      </c>
      <c r="D121" s="284">
        <f>IF(D118=0,0,1)</f>
        <v>0</v>
      </c>
      <c r="E121" s="284">
        <f>IF(E118=0,0,1)</f>
        <v>0</v>
      </c>
      <c r="F121" s="87"/>
      <c r="G121" s="232"/>
      <c r="H121" s="474"/>
      <c r="I121" s="109"/>
      <c r="J121" s="109"/>
      <c r="K121" s="109"/>
      <c r="L121"/>
      <c r="M121" s="474"/>
      <c r="N121" s="474"/>
      <c r="O121" s="474"/>
      <c r="P121" s="474"/>
      <c r="Q121" s="474"/>
      <c r="R121" s="474"/>
      <c r="S121" s="474"/>
    </row>
    <row r="122" spans="1:219" s="231" customFormat="1" ht="9.75" hidden="1" customHeight="1">
      <c r="A122" s="233" t="s">
        <v>109</v>
      </c>
      <c r="B122" s="282">
        <f>IF(B118&gt;0,IF(B120=S83,S85,S85+1),S85)</f>
        <v>7</v>
      </c>
      <c r="C122" s="284">
        <f>IF(C118&gt;0,IF(C120=B120,B122,B122+1),B122)</f>
        <v>7</v>
      </c>
      <c r="D122" s="284">
        <f>IF(D118&gt;0,IF(D120=C120,C122,C122+1),C122)</f>
        <v>7</v>
      </c>
      <c r="E122" s="284">
        <f>IF(E118&gt;0,IF(E120=D120,D122,D122+1),D122)</f>
        <v>7</v>
      </c>
      <c r="F122" s="87"/>
      <c r="G122" s="232"/>
      <c r="H122" s="474"/>
      <c r="I122" s="109"/>
      <c r="J122" s="109"/>
      <c r="K122" s="109"/>
      <c r="L122"/>
      <c r="M122" s="474"/>
      <c r="N122" s="474"/>
      <c r="O122" s="474"/>
      <c r="P122" s="474"/>
      <c r="Q122" s="474"/>
      <c r="R122" s="474"/>
      <c r="S122" s="474"/>
      <c r="U122" s="232">
        <f>MAX(11:11,48:48,85:85,B122:E122)</f>
        <v>7</v>
      </c>
    </row>
    <row r="123" spans="1:219" s="231" customFormat="1" ht="9.75" hidden="1" customHeight="1" thickBot="1">
      <c r="A123" s="233" t="s">
        <v>110</v>
      </c>
      <c r="B123" s="282">
        <f>IF(ISERROR(B117-S83),0,IF(OR(B117-S83&lt;7,LEN(B116)&gt;10),0,1))</f>
        <v>0</v>
      </c>
      <c r="C123" s="284">
        <f>IF(ISERROR(C117-B117),0,IF(OR(C117-B117&lt;7,LEN(C116)&gt;10),0,1))</f>
        <v>0</v>
      </c>
      <c r="D123" s="284">
        <f>IF(ISERROR(D117-C117),0,IF(OR(D117-C117&lt;7,LEN(D116)&gt;10),0,1))</f>
        <v>0</v>
      </c>
      <c r="E123" s="284">
        <f>IF(ISERROR(E117-D117),0,IF(OR(E117-D117&lt;7,LEN(E116)&gt;10),0,1))</f>
        <v>0</v>
      </c>
      <c r="F123" s="87"/>
      <c r="G123" s="232"/>
      <c r="H123" s="474"/>
      <c r="I123" s="109"/>
      <c r="J123" s="109"/>
      <c r="K123" s="109"/>
      <c r="L123"/>
      <c r="M123" s="474"/>
      <c r="N123" s="474"/>
      <c r="O123" s="474"/>
      <c r="P123" s="474"/>
      <c r="Q123" s="474"/>
      <c r="R123" s="474"/>
      <c r="S123" s="474"/>
      <c r="U123" s="232">
        <f>SUM(12:12,49:49,86:86,B123:E123)</f>
        <v>26</v>
      </c>
    </row>
    <row r="124" spans="1:219" s="43" customFormat="1" ht="11.5" hidden="1" thickTop="1" thickBot="1">
      <c r="A124" s="62" t="s">
        <v>14</v>
      </c>
      <c r="B124" s="61"/>
      <c r="C124" s="19"/>
      <c r="D124" s="19"/>
      <c r="E124" s="19"/>
      <c r="F124" s="1"/>
      <c r="G124" s="1"/>
      <c r="H124" s="474"/>
      <c r="I124" s="109"/>
      <c r="J124" s="109"/>
      <c r="K124" s="109"/>
      <c r="L124"/>
      <c r="M124" s="474"/>
      <c r="N124" s="474"/>
      <c r="O124" s="474"/>
      <c r="P124" s="474"/>
      <c r="Q124" s="474"/>
      <c r="R124" s="474"/>
      <c r="S124" s="474"/>
      <c r="U124" s="1"/>
    </row>
    <row r="125" spans="1:219" s="43" customFormat="1" ht="7.5" hidden="1" thickTop="1">
      <c r="A125" s="47" t="s">
        <v>23</v>
      </c>
      <c r="B125" s="298"/>
      <c r="C125" s="296"/>
      <c r="D125" s="296"/>
      <c r="E125" s="296"/>
      <c r="F125" s="389"/>
      <c r="H125" s="474"/>
      <c r="I125" s="109"/>
      <c r="J125" s="109"/>
      <c r="K125" s="109"/>
      <c r="L125"/>
      <c r="M125" s="474"/>
      <c r="N125" s="474"/>
      <c r="O125" s="474"/>
      <c r="P125" s="474"/>
      <c r="Q125" s="474"/>
      <c r="R125" s="474"/>
      <c r="S125" s="474"/>
      <c r="U125" s="49">
        <f>SUM(14:14)+SUM(51:51)+SUM(88:88)+SUM(B125:E125)</f>
        <v>396.36</v>
      </c>
    </row>
    <row r="126" spans="1:219" s="43" customFormat="1" hidden="1">
      <c r="A126" s="50" t="s">
        <v>24</v>
      </c>
      <c r="B126" s="301"/>
      <c r="C126" s="299"/>
      <c r="D126" s="299"/>
      <c r="E126" s="299"/>
      <c r="F126" s="389"/>
      <c r="H126" s="474"/>
      <c r="I126" s="109"/>
      <c r="J126" s="109"/>
      <c r="K126" s="109"/>
      <c r="L126"/>
      <c r="M126" s="474"/>
      <c r="N126" s="474"/>
      <c r="O126" s="474"/>
      <c r="P126" s="474"/>
      <c r="Q126" s="474"/>
      <c r="R126" s="474"/>
      <c r="S126" s="474"/>
      <c r="U126" s="51">
        <f>SUM(15:15)+SUM(52:52)+SUM(89:89)+SUM(B126:E126)</f>
        <v>830</v>
      </c>
    </row>
    <row r="127" spans="1:219" s="43" customFormat="1" ht="7.5" hidden="1" thickBot="1">
      <c r="A127" s="100" t="s">
        <v>27</v>
      </c>
      <c r="B127" s="304"/>
      <c r="C127" s="302"/>
      <c r="D127" s="302"/>
      <c r="E127" s="302"/>
      <c r="F127" s="389"/>
      <c r="H127" s="474"/>
      <c r="I127" s="109"/>
      <c r="J127" s="109"/>
      <c r="K127" s="109"/>
      <c r="L127"/>
      <c r="M127" s="474"/>
      <c r="N127" s="474"/>
      <c r="O127" s="474"/>
      <c r="P127" s="474"/>
      <c r="Q127" s="474"/>
      <c r="R127" s="474"/>
      <c r="S127" s="474"/>
      <c r="U127" s="101">
        <f>SUM(16:16)+SUM(53:53)+SUM(90:90)+SUM(B127:E127)</f>
        <v>1125</v>
      </c>
    </row>
    <row r="128" spans="1:219" s="43" customFormat="1" ht="11.5" hidden="1" thickTop="1" thickBot="1">
      <c r="A128" s="103" t="s">
        <v>70</v>
      </c>
      <c r="B128" s="51">
        <f>SUM(B125:B127)</f>
        <v>0</v>
      </c>
      <c r="C128" s="66">
        <f>SUM(C125:C127)</f>
        <v>0</v>
      </c>
      <c r="D128" s="66">
        <f>SUM(D125:D127)</f>
        <v>0</v>
      </c>
      <c r="E128" s="66">
        <f>SUM(E125:E127)</f>
        <v>0</v>
      </c>
      <c r="H128" s="474"/>
      <c r="I128" s="109"/>
      <c r="J128" s="109"/>
      <c r="K128" s="109"/>
      <c r="L128"/>
      <c r="M128" s="474"/>
      <c r="N128" s="474"/>
      <c r="O128" s="474"/>
      <c r="P128" s="474"/>
      <c r="Q128" s="474"/>
      <c r="R128" s="474"/>
      <c r="S128" s="474"/>
      <c r="U128" s="51">
        <f>SUM(17:17)+SUM(54:54)+SUM(91:91)+SUM(B128:E128)</f>
        <v>2351.36</v>
      </c>
    </row>
    <row r="129" spans="1:21" s="43" customFormat="1" ht="11.5" hidden="1" thickTop="1" thickBot="1">
      <c r="A129" s="11" t="s">
        <v>72</v>
      </c>
      <c r="B129" s="256" t="str">
        <f ca="1">IF(OR(LEFT(B116,2)="un",LEFT(B116,1)="(",B128&lt;&gt;0,B142&lt;&gt;0, B116="",B117&gt;NOW()),"","Acct Due")</f>
        <v/>
      </c>
      <c r="C129" s="256" t="str">
        <f ca="1">IF(OR(LEFT(C116,2)="un",LEFT(C116,1)="(",C128&lt;&gt;0,C142&lt;&gt;0, C116="",C117&gt;NOW()),"","Acct Due")</f>
        <v/>
      </c>
      <c r="D129" s="256" t="str">
        <f ca="1">IF(OR(LEFT(D116,2)="un",LEFT(D116,1)="(",D128&lt;&gt;0,D142&lt;&gt;0, D116="",D117&gt;NOW()),"","Acct Due")</f>
        <v/>
      </c>
      <c r="E129" s="256" t="str">
        <f ca="1">IF(OR(LEFT(E116,2)="un",LEFT(E116,1)="(",E128&lt;&gt;0,E142&lt;&gt;0, E116="",E117&gt;NOW()),"","Acct Due")</f>
        <v/>
      </c>
      <c r="F129" s="248"/>
      <c r="G129" s="248"/>
      <c r="H129" s="474"/>
      <c r="I129" s="109"/>
      <c r="J129" s="109"/>
      <c r="K129" s="109"/>
      <c r="L129"/>
      <c r="M129" s="474"/>
      <c r="N129" s="474"/>
      <c r="O129" s="474"/>
      <c r="P129" s="474"/>
      <c r="Q129" s="474"/>
      <c r="R129" s="474"/>
      <c r="S129" s="474"/>
    </row>
    <row r="130" spans="1:21" s="43" customFormat="1" ht="7.5" hidden="1" thickTop="1">
      <c r="A130" s="47" t="s">
        <v>37</v>
      </c>
      <c r="B130" s="298"/>
      <c r="C130" s="296"/>
      <c r="D130" s="296"/>
      <c r="E130" s="296"/>
      <c r="F130" s="389"/>
      <c r="H130" s="474"/>
      <c r="I130" s="109"/>
      <c r="J130" s="109"/>
      <c r="K130" s="109"/>
      <c r="L130"/>
      <c r="M130" s="474"/>
      <c r="N130" s="474"/>
      <c r="O130" s="474"/>
      <c r="P130" s="474"/>
      <c r="Q130" s="474"/>
      <c r="R130" s="474"/>
      <c r="S130" s="474"/>
      <c r="U130" s="49">
        <f t="shared" ref="U130:U135" si="50">SUM(19:19)+SUM(56:56)+SUM(93:93)+SUM(B130:E130)</f>
        <v>273.33</v>
      </c>
    </row>
    <row r="131" spans="1:21" s="43" customFormat="1" hidden="1">
      <c r="A131" s="50" t="s">
        <v>38</v>
      </c>
      <c r="B131" s="301"/>
      <c r="C131" s="299"/>
      <c r="D131" s="299"/>
      <c r="E131" s="299"/>
      <c r="F131" s="389"/>
      <c r="H131" s="474"/>
      <c r="I131" s="109"/>
      <c r="J131" s="109"/>
      <c r="K131" s="109"/>
      <c r="L131"/>
      <c r="M131" s="474"/>
      <c r="N131" s="474"/>
      <c r="O131" s="474"/>
      <c r="P131" s="474"/>
      <c r="Q131" s="474"/>
      <c r="R131" s="474"/>
      <c r="S131" s="474"/>
      <c r="U131" s="51">
        <f t="shared" si="50"/>
        <v>270.77999999999997</v>
      </c>
    </row>
    <row r="132" spans="1:21" s="43" customFormat="1" hidden="1">
      <c r="A132" s="50" t="s">
        <v>39</v>
      </c>
      <c r="B132" s="301"/>
      <c r="C132" s="299"/>
      <c r="D132" s="299"/>
      <c r="E132" s="299"/>
      <c r="F132" s="389"/>
      <c r="H132" s="474"/>
      <c r="I132" s="109"/>
      <c r="J132" s="109"/>
      <c r="K132" s="109"/>
      <c r="L132"/>
      <c r="M132" s="474"/>
      <c r="N132" s="474"/>
      <c r="O132" s="474"/>
      <c r="P132" s="474"/>
      <c r="Q132" s="474"/>
      <c r="R132" s="474"/>
      <c r="S132" s="474"/>
      <c r="U132" s="51">
        <f t="shared" si="50"/>
        <v>0</v>
      </c>
    </row>
    <row r="133" spans="1:21" s="43" customFormat="1" hidden="1">
      <c r="A133" s="52" t="s">
        <v>41</v>
      </c>
      <c r="B133" s="90">
        <f>'OTHER COSTS'!BD82</f>
        <v>0</v>
      </c>
      <c r="C133" s="90"/>
      <c r="D133" s="90"/>
      <c r="E133" s="90"/>
      <c r="H133" s="474"/>
      <c r="I133" s="109"/>
      <c r="J133" s="109"/>
      <c r="K133" s="109"/>
      <c r="L133"/>
      <c r="M133" s="474"/>
      <c r="N133" s="474"/>
      <c r="O133" s="474"/>
      <c r="P133" s="474"/>
      <c r="Q133" s="474"/>
      <c r="R133" s="474"/>
      <c r="S133" s="474"/>
      <c r="U133" s="90">
        <f t="shared" si="50"/>
        <v>19.5</v>
      </c>
    </row>
    <row r="134" spans="1:21" s="43" customFormat="1" hidden="1">
      <c r="A134" s="82" t="s">
        <v>42</v>
      </c>
      <c r="B134" s="46">
        <f>SUM(B130:B133)</f>
        <v>0</v>
      </c>
      <c r="C134" s="42">
        <f>SUM(C130:C133)</f>
        <v>0</v>
      </c>
      <c r="D134" s="42">
        <f>SUM(D130:D133)</f>
        <v>0</v>
      </c>
      <c r="E134" s="42">
        <f>SUM(E130:E133)</f>
        <v>0</v>
      </c>
      <c r="H134" s="474"/>
      <c r="I134" s="109"/>
      <c r="J134" s="109"/>
      <c r="K134" s="109"/>
      <c r="L134"/>
      <c r="M134" s="474"/>
      <c r="N134" s="474"/>
      <c r="O134" s="474"/>
      <c r="P134" s="474"/>
      <c r="Q134" s="474"/>
      <c r="R134" s="474"/>
      <c r="S134" s="474"/>
      <c r="U134" s="46">
        <f t="shared" si="50"/>
        <v>563.6099999999999</v>
      </c>
    </row>
    <row r="135" spans="1:21" s="43" customFormat="1" ht="7.5" hidden="1" thickBot="1">
      <c r="A135" s="83" t="s">
        <v>83</v>
      </c>
      <c r="B135" s="333"/>
      <c r="C135" s="306"/>
      <c r="D135" s="306"/>
      <c r="E135" s="306"/>
      <c r="H135" s="474"/>
      <c r="I135" s="109"/>
      <c r="J135" s="109"/>
      <c r="K135" s="109"/>
      <c r="L135"/>
      <c r="M135" s="474"/>
      <c r="N135" s="474"/>
      <c r="O135" s="474"/>
      <c r="P135" s="474"/>
      <c r="Q135" s="474"/>
      <c r="R135" s="474"/>
      <c r="S135" s="474"/>
      <c r="U135" s="208">
        <f t="shared" si="50"/>
        <v>251.32999999999998</v>
      </c>
    </row>
    <row r="136" spans="1:21" s="43" customFormat="1" ht="11.5" hidden="1" thickTop="1" thickBot="1">
      <c r="A136" s="84" t="s">
        <v>73</v>
      </c>
      <c r="B136" s="73"/>
      <c r="C136" s="312" t="str">
        <f>IF(OR(LEFT(C124,2)="un",C133&lt;&gt;0,C150&lt;&gt;0, C124=""),"","Acct Due")</f>
        <v/>
      </c>
      <c r="D136" s="312" t="str">
        <f>IF(OR(LEFT(D124,2)="un",D133&lt;&gt;0,D150&lt;&gt;0, D124=""),"","Acct Due")</f>
        <v/>
      </c>
      <c r="E136" s="312" t="str">
        <f>IF(OR(LEFT(E124,2)="un",E133&lt;&gt;0,E150&lt;&gt;0, E124=""),"","Acct Due")</f>
        <v/>
      </c>
      <c r="H136" s="474"/>
      <c r="I136" s="109"/>
      <c r="J136" s="109"/>
      <c r="K136" s="109"/>
      <c r="L136"/>
      <c r="M136" s="474"/>
      <c r="N136" s="474"/>
      <c r="O136" s="474"/>
      <c r="P136" s="474"/>
      <c r="Q136" s="474"/>
      <c r="R136" s="474"/>
      <c r="S136" s="474"/>
      <c r="U136" s="68"/>
    </row>
    <row r="137" spans="1:21" s="43" customFormat="1" ht="7.5" hidden="1" thickTop="1">
      <c r="A137" s="47" t="s">
        <v>47</v>
      </c>
      <c r="B137" s="49">
        <f>MAINTENANCE!BE56</f>
        <v>0</v>
      </c>
      <c r="C137" s="49">
        <f>MAINTENANCE!AN93</f>
        <v>0</v>
      </c>
      <c r="D137" s="49">
        <f>MAINTENANCE!AO93</f>
        <v>0</v>
      </c>
      <c r="E137" s="49">
        <f>MAINTENANCE!AP93</f>
        <v>0</v>
      </c>
      <c r="H137" s="474"/>
      <c r="I137" s="109"/>
      <c r="J137" s="109"/>
      <c r="K137" s="109"/>
      <c r="L137"/>
      <c r="M137" s="474"/>
      <c r="N137" s="474"/>
      <c r="O137" s="474"/>
      <c r="P137" s="474"/>
      <c r="Q137" s="474"/>
      <c r="R137" s="474"/>
      <c r="S137" s="474"/>
      <c r="U137" s="49">
        <f t="shared" ref="U137:U142" si="51">SUM(26:26)+SUM(63:63)+SUM(100:100)+SUM(B137:E137)</f>
        <v>2087.5299999999997</v>
      </c>
    </row>
    <row r="138" spans="1:21" s="43" customFormat="1" hidden="1">
      <c r="A138" s="50" t="s">
        <v>113</v>
      </c>
      <c r="B138" s="51">
        <f>'OTHER COSTS'!BD38+'OTHER COSTS'!BD45</f>
        <v>0</v>
      </c>
      <c r="C138" s="66">
        <f>'OTHER COSTS'!AM86+'OTHER COSTS'!AM93</f>
        <v>0</v>
      </c>
      <c r="D138" s="66">
        <f>'OTHER COSTS'!AN86+'OTHER COSTS'!AN93</f>
        <v>0</v>
      </c>
      <c r="E138" s="66">
        <f>'OTHER COSTS'!AO86+'OTHER COSTS'!AO93</f>
        <v>0</v>
      </c>
      <c r="H138" s="474"/>
      <c r="I138" s="109"/>
      <c r="J138" s="109"/>
      <c r="K138" s="109"/>
      <c r="L138"/>
      <c r="M138" s="474"/>
      <c r="N138" s="474"/>
      <c r="O138" s="474"/>
      <c r="P138" s="474"/>
      <c r="Q138" s="474"/>
      <c r="R138" s="474"/>
      <c r="S138" s="474"/>
      <c r="U138" s="51">
        <f t="shared" si="51"/>
        <v>2733.4300000000003</v>
      </c>
    </row>
    <row r="139" spans="1:21" s="43" customFormat="1" hidden="1">
      <c r="A139" s="661" t="s">
        <v>198</v>
      </c>
      <c r="B139" s="51">
        <f>'OTHER COSTS'!BD56</f>
        <v>0</v>
      </c>
      <c r="C139" s="51">
        <f>'OTHER COSTS'!AM104</f>
        <v>0</v>
      </c>
      <c r="D139" s="51">
        <f>'OTHER COSTS'!AN104</f>
        <v>0</v>
      </c>
      <c r="E139" s="51">
        <f>'OTHER COSTS'!AO104</f>
        <v>0</v>
      </c>
      <c r="H139" s="474"/>
      <c r="I139" s="109"/>
      <c r="J139" s="109"/>
      <c r="K139" s="109"/>
      <c r="L139"/>
      <c r="M139" s="474"/>
      <c r="N139" s="474"/>
      <c r="O139" s="474"/>
      <c r="P139" s="474"/>
      <c r="Q139" s="474"/>
      <c r="R139" s="474"/>
      <c r="S139" s="474"/>
      <c r="U139" s="41">
        <f t="shared" si="51"/>
        <v>96</v>
      </c>
    </row>
    <row r="140" spans="1:21" s="43" customFormat="1" hidden="1">
      <c r="A140" s="52" t="s">
        <v>49</v>
      </c>
      <c r="B140" s="309"/>
      <c r="C140" s="307"/>
      <c r="D140" s="307"/>
      <c r="E140" s="307"/>
      <c r="F140" s="389"/>
      <c r="H140" s="474"/>
      <c r="I140" s="109"/>
      <c r="J140" s="109"/>
      <c r="K140" s="109"/>
      <c r="L140"/>
      <c r="M140" s="474"/>
      <c r="N140" s="474"/>
      <c r="O140" s="474"/>
      <c r="P140" s="474"/>
      <c r="Q140" s="474"/>
      <c r="R140" s="474"/>
      <c r="S140" s="474"/>
      <c r="U140" s="217">
        <f t="shared" si="51"/>
        <v>2537.1999999999998</v>
      </c>
    </row>
    <row r="141" spans="1:21" s="43" customFormat="1" ht="7.5" hidden="1" thickBot="1">
      <c r="A141" s="82" t="s">
        <v>74</v>
      </c>
      <c r="B141" s="46">
        <f>SUM(B137:B140)</f>
        <v>0</v>
      </c>
      <c r="C141" s="42">
        <f>SUM(C137:C140)</f>
        <v>0</v>
      </c>
      <c r="D141" s="42">
        <f>SUM(D137:D140)</f>
        <v>0</v>
      </c>
      <c r="E141" s="42">
        <f>SUM(E137:E140)</f>
        <v>0</v>
      </c>
      <c r="H141" s="474"/>
      <c r="I141" s="109"/>
      <c r="J141" s="109"/>
      <c r="K141" s="109"/>
      <c r="L141"/>
      <c r="M141" s="474"/>
      <c r="N141" s="474"/>
      <c r="O141" s="474"/>
      <c r="P141" s="474"/>
      <c r="Q141" s="474"/>
      <c r="R141" s="474"/>
      <c r="S141" s="474"/>
      <c r="U141" s="26">
        <f t="shared" si="51"/>
        <v>7454.1599999999989</v>
      </c>
    </row>
    <row r="142" spans="1:21" s="43" customFormat="1" ht="11.5" hidden="1" thickTop="1" thickBot="1">
      <c r="A142" s="254" t="s">
        <v>53</v>
      </c>
      <c r="B142" s="49">
        <f>SUM(B135:B140)+B134</f>
        <v>0</v>
      </c>
      <c r="C142" s="76">
        <f>SUM(C135:C140)+C134</f>
        <v>0</v>
      </c>
      <c r="D142" s="76">
        <f>SUM(D135:D140)+D134</f>
        <v>0</v>
      </c>
      <c r="E142" s="76">
        <f>SUM(E135:E140)+E134</f>
        <v>0</v>
      </c>
      <c r="H142" s="474"/>
      <c r="I142" s="109"/>
      <c r="J142" s="109"/>
      <c r="K142" s="109"/>
      <c r="L142"/>
      <c r="M142" s="474"/>
      <c r="N142" s="474"/>
      <c r="O142" s="474"/>
      <c r="P142" s="474"/>
      <c r="Q142" s="474"/>
      <c r="R142" s="474"/>
      <c r="S142" s="474"/>
      <c r="U142" s="218">
        <f t="shared" si="51"/>
        <v>8269.0999999999985</v>
      </c>
    </row>
    <row r="143" spans="1:21" s="43" customFormat="1" ht="8" hidden="1" thickTop="1" thickBot="1">
      <c r="A143" s="258" t="s">
        <v>119</v>
      </c>
      <c r="B143" s="261">
        <f>B128-B142</f>
        <v>0</v>
      </c>
      <c r="C143" s="259">
        <f>C128-C142</f>
        <v>0</v>
      </c>
      <c r="D143" s="259">
        <f>D128-D142</f>
        <v>0</v>
      </c>
      <c r="E143" s="259">
        <f>E128-E142</f>
        <v>0</v>
      </c>
      <c r="F143" s="68"/>
      <c r="G143" s="68"/>
      <c r="I143"/>
      <c r="J143"/>
      <c r="K143"/>
      <c r="L143" s="475"/>
      <c r="U143" s="429">
        <f>SUM(M143:S143)</f>
        <v>0</v>
      </c>
    </row>
    <row r="144" spans="1:21" s="43" customFormat="1" ht="8" hidden="1" thickTop="1" thickBot="1">
      <c r="A144" s="86" t="s">
        <v>118</v>
      </c>
      <c r="B144" s="399" t="str">
        <f>IF(B143=0,"","post bal.")</f>
        <v/>
      </c>
      <c r="C144" s="310" t="str">
        <f>IF(C143=0,"","post bal.")</f>
        <v/>
      </c>
      <c r="D144" s="310" t="str">
        <f>IF(D143=0,"","post bal.")</f>
        <v/>
      </c>
      <c r="E144" s="310" t="str">
        <f>IF(E143=0,"","post bal.")</f>
        <v/>
      </c>
      <c r="F144" s="390"/>
      <c r="G144" s="247"/>
      <c r="L144" s="476"/>
      <c r="M144" s="477"/>
      <c r="N144" s="478"/>
      <c r="O144" s="478"/>
      <c r="P144" s="478"/>
      <c r="Q144" s="478"/>
      <c r="R144" s="478"/>
      <c r="S144" s="478"/>
      <c r="U144" s="180"/>
    </row>
    <row r="145" spans="1:21" s="229" customFormat="1" ht="9.75" hidden="1" customHeight="1" thickTop="1" thickBot="1">
      <c r="A145" s="228" t="s">
        <v>104</v>
      </c>
      <c r="B145" s="230">
        <f>IF(B144="post bal.",B143,0)</f>
        <v>0</v>
      </c>
      <c r="C145" s="230">
        <f>IF(C144="post bal.",C143,0)</f>
        <v>0</v>
      </c>
      <c r="D145" s="230">
        <f>IF(D144="post bal.",D143,0)</f>
        <v>0</v>
      </c>
      <c r="E145" s="230">
        <f>IF(E144="post bal.",E143,0)</f>
        <v>0</v>
      </c>
      <c r="F145" s="230">
        <f>IF(F144="post bal.",F143,0)</f>
        <v>0</v>
      </c>
      <c r="G145" s="230"/>
      <c r="H145" s="230"/>
      <c r="I145" s="230"/>
      <c r="J145" s="230"/>
      <c r="L145" s="230"/>
      <c r="M145" s="230">
        <f t="shared" ref="M145:S145" si="52">IF(M144="post bal.",M143,0)</f>
        <v>0</v>
      </c>
      <c r="N145" s="230">
        <f t="shared" si="52"/>
        <v>0</v>
      </c>
      <c r="O145" s="230">
        <f t="shared" si="52"/>
        <v>0</v>
      </c>
      <c r="P145" s="230">
        <f t="shared" si="52"/>
        <v>0</v>
      </c>
      <c r="Q145" s="230">
        <f t="shared" si="52"/>
        <v>0</v>
      </c>
      <c r="R145" s="230">
        <f t="shared" si="52"/>
        <v>0</v>
      </c>
      <c r="S145" s="230">
        <f t="shared" si="52"/>
        <v>0</v>
      </c>
      <c r="U145" s="229">
        <f>SUM(34:34)+SUM(71:71)+SUM(108:108)+SUM(B145:T145)</f>
        <v>0</v>
      </c>
    </row>
    <row r="146" spans="1:21" s="229" customFormat="1" ht="9.75" hidden="1" customHeight="1" thickTop="1" thickBot="1">
      <c r="A146" s="228" t="s">
        <v>105</v>
      </c>
      <c r="B146" s="229">
        <f>IF(B116="Insurance",B140,0)</f>
        <v>0</v>
      </c>
      <c r="C146" s="229">
        <f>IF(C116="Insurance",C140,0)</f>
        <v>0</v>
      </c>
      <c r="D146" s="229">
        <f>IF(D116="Insurance",D140,0)</f>
        <v>0</v>
      </c>
      <c r="E146" s="229">
        <f>IF(E116="Insurance",E140,0)</f>
        <v>0</v>
      </c>
      <c r="F146" s="229">
        <f>IF(F116="Insurance",F140,0)</f>
        <v>0</v>
      </c>
      <c r="H146" s="229">
        <f>IF(H115="Insurance",H140,0)</f>
        <v>0</v>
      </c>
      <c r="I146" s="229">
        <f>IF(I115="Insurance",I140,0)</f>
        <v>0</v>
      </c>
      <c r="J146" s="229">
        <f>IF(J115="Insurance",J140,0)</f>
        <v>0</v>
      </c>
      <c r="M146" s="229">
        <f>IF(M115="Insurance",M140,0)</f>
        <v>0</v>
      </c>
      <c r="N146" s="229">
        <f>IF(N115="Insurance",N140,0)</f>
        <v>0</v>
      </c>
      <c r="O146" s="229">
        <f>IF(O115="Insurance",O140,0)</f>
        <v>0</v>
      </c>
      <c r="Q146" s="229">
        <f>IF(Q115="Insurance",Q140,0)</f>
        <v>0</v>
      </c>
      <c r="R146" s="229">
        <f>IF(R115="Insurance",R140,0)</f>
        <v>0</v>
      </c>
      <c r="S146" s="229">
        <f>IF(S115="Insurance",S140,0)</f>
        <v>0</v>
      </c>
      <c r="U146" s="236">
        <f>SUM(35:35)+SUM(72:72)+SUM(109:109)+SUM(B146:E146)</f>
        <v>451.60999999999996</v>
      </c>
    </row>
    <row r="147" spans="1:21" s="229" customFormat="1" ht="8" hidden="1" thickTop="1" thickBot="1">
      <c r="A147" s="228" t="s">
        <v>207</v>
      </c>
      <c r="B147" s="229">
        <f>IF(B116="RCR",B140,0)</f>
        <v>0</v>
      </c>
      <c r="C147" s="229">
        <f t="shared" ref="C147:S147" si="53">IF(C116="RCR",C140,0)</f>
        <v>0</v>
      </c>
      <c r="D147" s="229">
        <f t="shared" si="53"/>
        <v>0</v>
      </c>
      <c r="E147" s="229">
        <f t="shared" si="53"/>
        <v>0</v>
      </c>
      <c r="F147" s="229">
        <f t="shared" si="53"/>
        <v>0</v>
      </c>
      <c r="G147" s="229">
        <f t="shared" si="53"/>
        <v>0</v>
      </c>
      <c r="H147" s="229">
        <f t="shared" si="53"/>
        <v>0</v>
      </c>
      <c r="I147" s="229">
        <f t="shared" si="53"/>
        <v>0</v>
      </c>
      <c r="J147" s="229">
        <f t="shared" si="53"/>
        <v>0</v>
      </c>
      <c r="K147" s="229">
        <f t="shared" si="53"/>
        <v>0</v>
      </c>
      <c r="L147" s="229">
        <f t="shared" si="53"/>
        <v>0</v>
      </c>
      <c r="M147" s="229">
        <f t="shared" si="53"/>
        <v>0</v>
      </c>
      <c r="N147" s="229">
        <f t="shared" si="53"/>
        <v>0</v>
      </c>
      <c r="O147" s="229">
        <f t="shared" si="53"/>
        <v>0</v>
      </c>
      <c r="P147" s="229">
        <f t="shared" si="53"/>
        <v>0</v>
      </c>
      <c r="Q147" s="229">
        <f t="shared" si="53"/>
        <v>0</v>
      </c>
      <c r="R147" s="229">
        <f t="shared" si="53"/>
        <v>0</v>
      </c>
      <c r="S147" s="229">
        <f t="shared" si="53"/>
        <v>0</v>
      </c>
      <c r="U147" s="236">
        <f>SUM(36:36)+SUM(73:73)+SUM(110:110)+SUM(B147:E147)</f>
        <v>60</v>
      </c>
    </row>
    <row r="148" spans="1:21" s="229" customFormat="1" ht="9.75" hidden="1" customHeight="1" thickTop="1" thickBot="1">
      <c r="A148" s="228" t="s">
        <v>106</v>
      </c>
      <c r="B148" s="229">
        <f>IF(B116="Mooring",B141,0)</f>
        <v>0</v>
      </c>
      <c r="C148" s="229">
        <f>IF(C116="Mooring",C141,0)</f>
        <v>0</v>
      </c>
      <c r="D148" s="229">
        <f>IF(D116="Mooring",D141,0)</f>
        <v>0</v>
      </c>
      <c r="E148" s="229">
        <f>IF(E116="Mooring",E141,0)</f>
        <v>0</v>
      </c>
      <c r="F148" s="229">
        <f>IF(F116="Mooring",F141,0)</f>
        <v>0</v>
      </c>
      <c r="H148" s="229">
        <f>IF(H115="Mooring",#REF!,0)</f>
        <v>0</v>
      </c>
      <c r="I148" s="229">
        <f>IF(I115="Mooring",#REF!,0)</f>
        <v>0</v>
      </c>
      <c r="J148" s="229">
        <f>IF(J115="Mooring",#REF!,0)</f>
        <v>0</v>
      </c>
      <c r="M148" s="229">
        <f>IF(M115="Mooring",#REF!,0)</f>
        <v>0</v>
      </c>
      <c r="N148" s="229">
        <f>IF(N115="Mooring",#REF!,0)</f>
        <v>0</v>
      </c>
      <c r="O148" s="229">
        <f>IF(O115="Mooring",#REF!,0)</f>
        <v>0</v>
      </c>
      <c r="Q148" s="229">
        <f>IF(Q115="Mooring",#REF!,0)</f>
        <v>0</v>
      </c>
      <c r="R148" s="229">
        <f>IF(R115="Mooring",#REF!,0)</f>
        <v>0</v>
      </c>
      <c r="S148" s="229">
        <f>IF(S115="Mooring",#REF!,0)</f>
        <v>0</v>
      </c>
      <c r="U148" s="236">
        <f>SUM(37:37)+SUM(74:74)+SUM(111:111)+SUM(B148:E148)</f>
        <v>974.04</v>
      </c>
    </row>
    <row r="149" spans="1:21" s="229" customFormat="1" ht="9.75" hidden="1" customHeight="1" thickTop="1" thickBot="1">
      <c r="A149" s="228" t="s">
        <v>107</v>
      </c>
      <c r="B149" s="229">
        <f>IF(B116="Licence",B142,0)</f>
        <v>0</v>
      </c>
      <c r="C149" s="229">
        <f>IF(C116="Licence",C142,0)</f>
        <v>0</v>
      </c>
      <c r="D149" s="229">
        <f>IF(D116="Licence",D142,0)</f>
        <v>0</v>
      </c>
      <c r="E149" s="229">
        <f>IF(E116="Licence",E142,0)</f>
        <v>0</v>
      </c>
      <c r="F149" s="229">
        <f>IF(F116="Licence",F142,0)</f>
        <v>0</v>
      </c>
      <c r="H149" s="229">
        <f>IF(H115="Licence",#REF!,0)</f>
        <v>0</v>
      </c>
      <c r="I149" s="229">
        <f>IF(I115="Licence",#REF!,0)</f>
        <v>0</v>
      </c>
      <c r="J149" s="229">
        <f>IF(J115="Licence",#REF!,0)</f>
        <v>0</v>
      </c>
      <c r="M149" s="229">
        <f>IF(M115="Licence",#REF!,0)</f>
        <v>0</v>
      </c>
      <c r="N149" s="229">
        <f>IF(N115="Licence",#REF!,0)</f>
        <v>0</v>
      </c>
      <c r="O149" s="229">
        <f>IF(O115="Licence",#REF!,0)</f>
        <v>0</v>
      </c>
      <c r="Q149" s="229">
        <f>IF(Q115="Licence",#REF!,0)</f>
        <v>0</v>
      </c>
      <c r="R149" s="229">
        <f>IF(R115="Licence",#REF!,0)</f>
        <v>0</v>
      </c>
      <c r="S149" s="229">
        <f>IF(S115="Licence",#REF!,0)</f>
        <v>0</v>
      </c>
      <c r="U149" s="236">
        <f>SUM(38:38)+SUM(75:75)+SUM(112:112)+SUM(B149:E149)</f>
        <v>398.40000000000009</v>
      </c>
    </row>
    <row r="150" spans="1:21" s="238" customFormat="1" ht="9.75" hidden="1" customHeight="1" thickTop="1" thickBot="1">
      <c r="A150" s="237" t="s">
        <v>108</v>
      </c>
      <c r="B150" s="238">
        <f>B140-SUM(B146:B149)</f>
        <v>0</v>
      </c>
      <c r="C150" s="238">
        <f>C140-SUM(C146:C149)</f>
        <v>0</v>
      </c>
      <c r="D150" s="238">
        <f>D140-SUM(D146:D149)</f>
        <v>0</v>
      </c>
      <c r="E150" s="238">
        <f t="shared" ref="E150:J150" si="54">E140-SUM(E146:E149)</f>
        <v>0</v>
      </c>
      <c r="F150" s="238">
        <f t="shared" si="54"/>
        <v>0</v>
      </c>
      <c r="H150" s="238">
        <f t="shared" si="54"/>
        <v>0</v>
      </c>
      <c r="I150" s="238">
        <f t="shared" si="54"/>
        <v>0</v>
      </c>
      <c r="J150" s="238">
        <f t="shared" si="54"/>
        <v>0</v>
      </c>
      <c r="M150" s="238">
        <f t="shared" ref="M150:S150" si="55">M140-SUM(M146:M149)</f>
        <v>0</v>
      </c>
      <c r="N150" s="238">
        <f t="shared" si="55"/>
        <v>0</v>
      </c>
      <c r="O150" s="238">
        <f t="shared" si="55"/>
        <v>0</v>
      </c>
      <c r="Q150" s="238">
        <f t="shared" si="55"/>
        <v>0</v>
      </c>
      <c r="R150" s="238">
        <f t="shared" si="55"/>
        <v>0</v>
      </c>
      <c r="S150" s="238">
        <f t="shared" si="55"/>
        <v>0</v>
      </c>
      <c r="U150" s="238">
        <f>SUM(39:39)+SUM(76:76)+SUM(113:113)+SUM(B150:E150)</f>
        <v>653.15</v>
      </c>
    </row>
    <row r="151" spans="1:21" s="43" customFormat="1">
      <c r="B151" s="1"/>
      <c r="C151" s="1"/>
      <c r="D151" s="1"/>
      <c r="E151" s="1"/>
      <c r="F151" s="1"/>
      <c r="G151" s="1"/>
      <c r="H151" s="1"/>
      <c r="I151" s="1"/>
    </row>
    <row r="152" spans="1:21" s="43" customFormat="1">
      <c r="S152" s="43">
        <f>+SUM(I152:Q152)</f>
        <v>0</v>
      </c>
    </row>
    <row r="153" spans="1:21" s="43" customFormat="1">
      <c r="S153" s="43">
        <f>SUM(J153:Q153)</f>
        <v>0</v>
      </c>
    </row>
    <row r="154" spans="1:21" s="43" customFormat="1"/>
    <row r="155" spans="1:21" s="43" customFormat="1"/>
    <row r="156" spans="1:21" s="43" customFormat="1"/>
  </sheetData>
  <mergeCells count="1">
    <mergeCell ref="A1:A3"/>
  </mergeCells>
  <phoneticPr fontId="9" type="noConversion"/>
  <pageMargins left="0.35433070866141736" right="0.35433070866141736" top="0.27559055118110237" bottom="0.27559055118110237" header="0.27559055118110237" footer="0.27559055118110237"/>
  <pageSetup paperSize="9" scale="90" orientation="landscape" verticalDpi="4" r:id="rId1"/>
  <headerFooter alignWithMargins="0">
    <oddHeader xml:space="preserve">&amp;R&amp;"Arial,Bold"&amp;20 </oddHeader>
    <oddFooter>&amp;CPage &amp;P of &amp;N</oddFooter>
  </headerFooter>
  <rowBreaks count="1" manualBreakCount="1">
    <brk id="76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Z160"/>
  <sheetViews>
    <sheetView showZeros="0" workbookViewId="0">
      <selection activeCell="F38" sqref="F38"/>
    </sheetView>
  </sheetViews>
  <sheetFormatPr defaultColWidth="16" defaultRowHeight="7"/>
  <cols>
    <col min="1" max="1" width="53" style="1" customWidth="1"/>
    <col min="2" max="9" width="11" style="1" customWidth="1"/>
    <col min="10" max="18" width="11" style="1" hidden="1" customWidth="1"/>
    <col min="19" max="20" width="2" style="1" customWidth="1"/>
    <col min="21" max="21" width="23" style="1" customWidth="1"/>
    <col min="22" max="22" width="11" style="1" customWidth="1"/>
    <col min="23" max="24" width="11" style="1" hidden="1" customWidth="1"/>
    <col min="25" max="25" width="2" style="1" customWidth="1"/>
    <col min="26" max="26" width="16" style="1" customWidth="1"/>
    <col min="27" max="27" width="16" style="1" hidden="1" customWidth="1"/>
    <col min="28" max="16384" width="16" style="1"/>
  </cols>
  <sheetData>
    <row r="1" spans="1:208" ht="36" thickTop="1" thickBot="1">
      <c r="A1" s="188" t="str">
        <f>Summary!$A$2</f>
        <v>OLYMPIC 2024 FINAL ACCOUNTS</v>
      </c>
      <c r="O1" s="190" t="str">
        <f>Summary!$T$2</f>
        <v>25 January 2025</v>
      </c>
      <c r="Y1" s="613" t="str">
        <f>Summary!$T$2</f>
        <v>25 January 2025</v>
      </c>
      <c r="AA1" s="182">
        <f>SUM(AA6:AA72)</f>
        <v>0</v>
      </c>
    </row>
    <row r="2" spans="1:208" ht="38.25" customHeight="1" thickTop="1">
      <c r="A2" s="193" t="s">
        <v>97</v>
      </c>
      <c r="O2" s="190"/>
    </row>
    <row r="3" spans="1:208" ht="18.75" customHeight="1" thickBot="1">
      <c r="A3" s="188"/>
      <c r="H3" s="189"/>
      <c r="O3" s="190"/>
    </row>
    <row r="4" spans="1:208" ht="8" hidden="1" thickTop="1" thickBot="1">
      <c r="A4" s="12" t="s">
        <v>64</v>
      </c>
      <c r="F4" s="167" t="s">
        <v>90</v>
      </c>
      <c r="G4" s="168"/>
      <c r="K4" s="167" t="s">
        <v>91</v>
      </c>
      <c r="L4" s="227"/>
      <c r="M4" s="168"/>
    </row>
    <row r="5" spans="1:208" ht="8" hidden="1" thickTop="1" thickBot="1">
      <c r="A5" s="8"/>
      <c r="B5" s="338"/>
      <c r="C5" s="391"/>
      <c r="D5" s="60"/>
      <c r="E5" s="14"/>
      <c r="F5" s="242"/>
      <c r="G5" s="391"/>
      <c r="H5" s="16"/>
      <c r="I5" s="60"/>
      <c r="K5" s="8"/>
      <c r="L5" s="134"/>
      <c r="M5" s="16"/>
      <c r="N5" s="60"/>
      <c r="R5" s="14"/>
      <c r="S5" s="14"/>
      <c r="T5" s="14"/>
      <c r="U5" s="14"/>
      <c r="V5" s="14"/>
      <c r="W5" s="14"/>
      <c r="X5" s="14"/>
      <c r="Y5" s="14"/>
      <c r="AA5" s="14"/>
    </row>
    <row r="6" spans="1:208" ht="8" hidden="1" thickTop="1" thickBot="1">
      <c r="A6" s="7"/>
      <c r="B6" s="394"/>
      <c r="C6" s="392"/>
      <c r="D6" s="136"/>
      <c r="E6" s="14"/>
      <c r="F6" s="397"/>
      <c r="G6" s="392"/>
      <c r="H6" s="22"/>
      <c r="I6" s="136"/>
      <c r="K6" s="7"/>
      <c r="L6" s="135"/>
      <c r="M6" s="22"/>
      <c r="N6" s="136"/>
      <c r="R6" s="14"/>
      <c r="S6" s="14"/>
      <c r="T6" s="14"/>
      <c r="U6" s="14"/>
      <c r="V6" s="14"/>
      <c r="W6" s="14"/>
      <c r="X6" s="14"/>
      <c r="Y6" s="14"/>
      <c r="AA6" s="166">
        <f>SUM(B9:F9)</f>
        <v>0</v>
      </c>
    </row>
    <row r="7" spans="1:208" s="165" customFormat="1" ht="8" hidden="1" thickTop="1" thickBot="1">
      <c r="A7" s="163"/>
      <c r="B7" s="395"/>
      <c r="C7" s="393"/>
      <c r="D7" s="164"/>
      <c r="E7" s="169"/>
      <c r="F7" s="398"/>
      <c r="G7" s="268"/>
      <c r="H7" s="172"/>
      <c r="I7" s="173"/>
      <c r="K7" s="170"/>
      <c r="L7" s="171"/>
      <c r="M7" s="172"/>
      <c r="N7" s="173"/>
      <c r="R7" s="169"/>
      <c r="S7" s="169"/>
      <c r="T7" s="169"/>
      <c r="U7" s="169"/>
      <c r="V7" s="169"/>
      <c r="W7" s="169"/>
      <c r="X7" s="169"/>
      <c r="Y7" s="169"/>
      <c r="Z7" s="169"/>
      <c r="AA7" s="166">
        <f>SUM(H9:L9)</f>
        <v>0</v>
      </c>
    </row>
    <row r="8" spans="1:208" s="178" customFormat="1" ht="8" hidden="1" thickTop="1" thickBot="1">
      <c r="A8" s="174" t="s">
        <v>66</v>
      </c>
      <c r="B8" s="396" t="str">
        <f>IF(B7=0,"","post bal.")</f>
        <v/>
      </c>
      <c r="C8" s="310" t="str">
        <f>IF(C7=0,"","post bal.")</f>
        <v/>
      </c>
      <c r="D8" s="311" t="str">
        <f>IF(D7=0,"","post bal.")</f>
        <v/>
      </c>
      <c r="F8" s="396" t="str">
        <f>IF(F7=0,"","post bal.")</f>
        <v/>
      </c>
      <c r="G8" s="310" t="str">
        <f>IF(G7=0,"","post bal.")</f>
        <v/>
      </c>
      <c r="H8" s="310" t="str">
        <f>IF(H7=0,"","post bal.")</f>
        <v/>
      </c>
      <c r="I8" s="311" t="str">
        <f>IF(I7=0,"","post bal.")</f>
        <v/>
      </c>
      <c r="K8" s="180" t="s">
        <v>67</v>
      </c>
      <c r="L8" s="175"/>
      <c r="M8" s="176"/>
      <c r="N8" s="177"/>
      <c r="AA8" s="179">
        <f>SUM(N9:R9)</f>
        <v>0</v>
      </c>
    </row>
    <row r="9" spans="1:208" ht="7.5" hidden="1" thickTop="1">
      <c r="A9" s="3"/>
      <c r="B9" s="104">
        <f>IF(B8="post bal.",B7,0)</f>
        <v>0</v>
      </c>
      <c r="C9" s="104">
        <f>IF(C8="post bal.",C7,0)</f>
        <v>0</v>
      </c>
      <c r="D9" s="104">
        <f t="shared" ref="D9:R9" si="0">IF(D8="post bal.",D7,0)</f>
        <v>0</v>
      </c>
      <c r="E9" s="3">
        <f t="shared" si="0"/>
        <v>0</v>
      </c>
      <c r="F9" s="104">
        <f t="shared" si="0"/>
        <v>0</v>
      </c>
      <c r="G9" s="104">
        <f t="shared" si="0"/>
        <v>0</v>
      </c>
      <c r="H9" s="104">
        <f t="shared" si="0"/>
        <v>0</v>
      </c>
      <c r="I9" s="104">
        <f t="shared" si="0"/>
        <v>0</v>
      </c>
      <c r="J9" s="3">
        <f>IF(H8="post bal.",H7,0)</f>
        <v>0</v>
      </c>
      <c r="K9" s="104">
        <f>IF(K8="post bal.",K7,0)</f>
        <v>0</v>
      </c>
      <c r="L9" s="104">
        <f>IF(L8="post bal.",L7,0)</f>
        <v>0</v>
      </c>
      <c r="M9" s="104">
        <f>IF(M8="post bal.",M7,0)</f>
        <v>0</v>
      </c>
      <c r="N9" s="104">
        <f>IF(N8="post bal.",N7,0)</f>
        <v>0</v>
      </c>
      <c r="O9" s="3">
        <f>IF(L8="post bal.",L7,0)</f>
        <v>0</v>
      </c>
      <c r="P9" s="3">
        <f>IF(M8="post bal.",M7,0)</f>
        <v>0</v>
      </c>
      <c r="Q9" s="3">
        <f>IF(N8="post bal.",N7,0)</f>
        <v>0</v>
      </c>
      <c r="R9" s="3">
        <f t="shared" si="0"/>
        <v>0</v>
      </c>
    </row>
    <row r="10" spans="1:208" ht="8" hidden="1" thickTop="1" thickBot="1">
      <c r="F10" s="43"/>
    </row>
    <row r="11" spans="1:208" ht="11.5" thickTop="1" thickBot="1">
      <c r="A11" s="11" t="s">
        <v>9</v>
      </c>
      <c r="E11" s="408"/>
      <c r="F11" s="408"/>
      <c r="AA11" s="14"/>
    </row>
    <row r="12" spans="1:208" ht="7.5" thickTop="1">
      <c r="A12" s="78" t="s">
        <v>68</v>
      </c>
      <c r="B12" s="442"/>
      <c r="C12" s="442"/>
      <c r="D12" s="493"/>
      <c r="E12" s="442"/>
      <c r="F12" s="461"/>
      <c r="G12" s="17"/>
      <c r="H12" s="13"/>
      <c r="I12" s="13"/>
      <c r="J12" s="13"/>
      <c r="K12" s="13"/>
      <c r="L12" s="17"/>
      <c r="M12" s="17"/>
      <c r="N12" s="17"/>
      <c r="O12" s="17"/>
      <c r="P12" s="17"/>
      <c r="Q12" s="17"/>
      <c r="R12" s="23"/>
      <c r="S12" s="133"/>
      <c r="T12" s="137"/>
      <c r="U12" s="137"/>
      <c r="V12" s="137"/>
      <c r="W12" s="137"/>
      <c r="X12" s="137"/>
      <c r="Z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</row>
    <row r="13" spans="1:208">
      <c r="A13" s="7" t="s">
        <v>69</v>
      </c>
      <c r="B13" s="77"/>
      <c r="C13" s="77"/>
      <c r="D13" s="209"/>
      <c r="E13" s="468"/>
      <c r="F13" s="79"/>
      <c r="G13" s="77"/>
      <c r="H13" s="77"/>
      <c r="I13" s="77"/>
      <c r="J13" s="77"/>
      <c r="K13" s="77"/>
      <c r="L13" s="79"/>
      <c r="M13" s="79"/>
      <c r="N13" s="79"/>
      <c r="O13" s="79"/>
      <c r="P13" s="53"/>
      <c r="Q13" s="53"/>
      <c r="R13" s="137"/>
      <c r="S13" s="54"/>
      <c r="T13" s="137"/>
      <c r="U13" s="137"/>
      <c r="V13" s="137"/>
      <c r="W13" s="137"/>
      <c r="X13" s="137"/>
    </row>
    <row r="14" spans="1:208">
      <c r="A14" s="93" t="s">
        <v>12</v>
      </c>
      <c r="B14" s="443"/>
      <c r="C14" s="443"/>
      <c r="D14" s="452"/>
      <c r="E14" s="443"/>
      <c r="F14" s="462"/>
      <c r="G14" s="95"/>
      <c r="H14" s="95"/>
      <c r="I14" s="95"/>
      <c r="J14" s="94"/>
      <c r="K14" s="94"/>
      <c r="L14" s="94"/>
      <c r="M14" s="94"/>
      <c r="N14" s="19"/>
      <c r="O14" s="19"/>
      <c r="P14" s="19"/>
      <c r="Q14" s="19"/>
      <c r="R14" s="21"/>
      <c r="S14" s="6"/>
    </row>
    <row r="15" spans="1:208" ht="7.5" thickBot="1">
      <c r="A15" s="97" t="s">
        <v>13</v>
      </c>
      <c r="B15" s="444"/>
      <c r="C15" s="444"/>
      <c r="D15" s="453"/>
      <c r="E15" s="444"/>
      <c r="F15" s="463"/>
      <c r="G15" s="98"/>
      <c r="H15" s="98"/>
      <c r="I15" s="98"/>
      <c r="J15" s="88"/>
      <c r="K15" s="88"/>
      <c r="L15" s="88"/>
      <c r="M15" s="88"/>
      <c r="N15" s="69"/>
      <c r="O15" s="69"/>
      <c r="P15" s="69"/>
      <c r="Q15" s="69"/>
      <c r="R15" s="70"/>
      <c r="S15" s="25"/>
    </row>
    <row r="16" spans="1:208" s="241" customFormat="1" ht="8" hidden="1" thickTop="1" thickBot="1">
      <c r="A16" s="239" t="s">
        <v>111</v>
      </c>
      <c r="B16" s="240"/>
      <c r="C16" s="445"/>
      <c r="D16" s="454"/>
      <c r="E16" s="445"/>
      <c r="F16" s="464"/>
      <c r="G16" s="240">
        <f>IF(OR(ISTEXT(G13),G13=0),Summary!$E$1-7,G13-MOD(G13-Summary!$E$1,7))</f>
        <v>45407</v>
      </c>
      <c r="H16" s="240">
        <f>IF(OR(ISTEXT(H13),H13=0),Summary!$E$1-7,H13-MOD(H13-Summary!$E$1,7))</f>
        <v>45407</v>
      </c>
      <c r="I16" s="240">
        <f>IF(OR(ISTEXT(I13),I13=0),Summary!$E$1-7,I13-MOD(I13-Summary!$E$1,7))</f>
        <v>45407</v>
      </c>
      <c r="J16" s="240">
        <f>IF(OR(ISTEXT(J13),J13=0),Summary!$E$1-7,J13-MOD(J13-Summary!$E$1,7))</f>
        <v>45407</v>
      </c>
      <c r="K16" s="240">
        <f>IF(OR(ISTEXT(K13),K13=0),Summary!$E$1-7,K13-MOD(K13-Summary!$E$1,7))</f>
        <v>45407</v>
      </c>
      <c r="L16" s="240">
        <f>IF(OR(ISTEXT(L13),L13=0),Summary!$E$1-7,L13-MOD(L13-Summary!$E$1,7))</f>
        <v>45407</v>
      </c>
      <c r="M16" s="240">
        <f>IF(OR(ISTEXT(M13),M13=0),Summary!$E$1-7,M13-MOD(M13-Summary!$E$1,7))</f>
        <v>45407</v>
      </c>
      <c r="N16" s="240">
        <f>IF(OR(ISTEXT(N13),N13=0),Summary!$E$1-7,N13-MOD(N13-Summary!$E$1,7))</f>
        <v>45407</v>
      </c>
      <c r="O16" s="240">
        <f>IF(OR(ISTEXT(O13),O13=0),Summary!$E$1-7,O13-MOD(O13-Summary!$E$1,7))</f>
        <v>45407</v>
      </c>
      <c r="P16" s="240">
        <f>IF(OR(ISTEXT(P13),P13=0),Summary!$E$1-7,P13-MOD(P13-Summary!$E$1,7))</f>
        <v>45407</v>
      </c>
      <c r="Q16" s="240">
        <f>IF(OR(ISTEXT(Q13),Q13=0),Summary!$E$1-7,Q13-MOD(Q13-Summary!$E$1,7))</f>
        <v>45407</v>
      </c>
      <c r="R16" s="260">
        <f>IF(OR(ISTEXT(R13),R13=0),Summary!$E$1-7,R13-MOD(R13-Summary!$E$1,7))</f>
        <v>45407</v>
      </c>
      <c r="S16" s="618">
        <f>IF(OR(ISTEXT(S13),S13=0),Summary!$E$1-7,S13-MOD(S13-Summary!$E$1,7))</f>
        <v>45407</v>
      </c>
    </row>
    <row r="17" spans="1:27" s="241" customFormat="1" ht="8" hidden="1" thickTop="1" thickBot="1">
      <c r="A17" s="233" t="s">
        <v>123</v>
      </c>
      <c r="B17" s="404"/>
      <c r="C17" s="94"/>
      <c r="D17" s="96"/>
      <c r="E17" s="94"/>
      <c r="F17" s="404"/>
      <c r="G17" s="284" t="b">
        <f t="shared" ref="G17:R17" si="1">OR(ISNUMBER(HLOOKUP(G16,G53:AD54,2)),ISNUMBER(HLOOKUP(G16,G94:AD95,2)))</f>
        <v>0</v>
      </c>
      <c r="H17" s="284" t="b">
        <f t="shared" si="1"/>
        <v>0</v>
      </c>
      <c r="I17" s="284" t="b">
        <f t="shared" si="1"/>
        <v>0</v>
      </c>
      <c r="J17" s="284" t="b">
        <f t="shared" si="1"/>
        <v>0</v>
      </c>
      <c r="K17" s="284" t="b">
        <f t="shared" si="1"/>
        <v>0</v>
      </c>
      <c r="L17" s="284" t="b">
        <f t="shared" si="1"/>
        <v>0</v>
      </c>
      <c r="M17" s="284" t="b">
        <f t="shared" si="1"/>
        <v>0</v>
      </c>
      <c r="N17" s="284" t="b">
        <f t="shared" si="1"/>
        <v>0</v>
      </c>
      <c r="O17" s="284" t="b">
        <f t="shared" si="1"/>
        <v>0</v>
      </c>
      <c r="P17" s="284" t="b">
        <f t="shared" si="1"/>
        <v>0</v>
      </c>
      <c r="Q17" s="284" t="b">
        <f t="shared" si="1"/>
        <v>0</v>
      </c>
      <c r="R17" s="491" t="b">
        <f t="shared" si="1"/>
        <v>0</v>
      </c>
      <c r="S17" s="619" t="b">
        <f>OR(ISNUMBER(HLOOKUP(S16,Y53:AP54,2)),ISNUMBER(HLOOKUP(S16,Y94:AP95,2)))</f>
        <v>0</v>
      </c>
      <c r="T17" s="232"/>
      <c r="U17" s="232"/>
      <c r="V17" s="232"/>
      <c r="W17" s="232"/>
      <c r="X17" s="232"/>
    </row>
    <row r="18" spans="1:27" s="241" customFormat="1" ht="8" hidden="1" thickTop="1" thickBot="1">
      <c r="A18" s="233" t="s">
        <v>121</v>
      </c>
      <c r="B18" s="404"/>
      <c r="C18" s="94"/>
      <c r="D18" s="96"/>
      <c r="E18" s="94"/>
      <c r="F18" s="404"/>
      <c r="G18" s="284">
        <f t="shared" ref="G18:R18" si="2">IF(OR(G17,G14=0),0,1)</f>
        <v>0</v>
      </c>
      <c r="H18" s="284">
        <f t="shared" si="2"/>
        <v>0</v>
      </c>
      <c r="I18" s="284">
        <f t="shared" si="2"/>
        <v>0</v>
      </c>
      <c r="J18" s="284">
        <f t="shared" si="2"/>
        <v>0</v>
      </c>
      <c r="K18" s="284">
        <f t="shared" si="2"/>
        <v>0</v>
      </c>
      <c r="L18" s="284">
        <f t="shared" si="2"/>
        <v>0</v>
      </c>
      <c r="M18" s="284">
        <f t="shared" si="2"/>
        <v>0</v>
      </c>
      <c r="N18" s="284">
        <f t="shared" si="2"/>
        <v>0</v>
      </c>
      <c r="O18" s="284">
        <f t="shared" si="2"/>
        <v>0</v>
      </c>
      <c r="P18" s="284">
        <f t="shared" si="2"/>
        <v>0</v>
      </c>
      <c r="Q18" s="284">
        <f t="shared" si="2"/>
        <v>0</v>
      </c>
      <c r="R18" s="491">
        <f t="shared" si="2"/>
        <v>0</v>
      </c>
      <c r="S18" s="619">
        <f>IF(OR(S17,S14=0),0,1)</f>
        <v>0</v>
      </c>
      <c r="T18" s="232"/>
      <c r="U18" s="232"/>
      <c r="V18" s="232"/>
      <c r="W18" s="232"/>
      <c r="X18" s="232"/>
    </row>
    <row r="19" spans="1:27" s="231" customFormat="1" ht="8" hidden="1" thickTop="1" thickBot="1">
      <c r="A19" s="233" t="s">
        <v>122</v>
      </c>
      <c r="B19" s="232"/>
      <c r="C19" s="87"/>
      <c r="D19" s="87"/>
      <c r="E19" s="94"/>
      <c r="F19" s="283"/>
      <c r="G19" s="283">
        <f t="shared" ref="G19:R19" si="3">G18+F19</f>
        <v>0</v>
      </c>
      <c r="H19" s="283">
        <f t="shared" si="3"/>
        <v>0</v>
      </c>
      <c r="I19" s="283">
        <f t="shared" si="3"/>
        <v>0</v>
      </c>
      <c r="J19" s="283">
        <f t="shared" si="3"/>
        <v>0</v>
      </c>
      <c r="K19" s="283">
        <f t="shared" si="3"/>
        <v>0</v>
      </c>
      <c r="L19" s="283">
        <f t="shared" si="3"/>
        <v>0</v>
      </c>
      <c r="M19" s="283">
        <f t="shared" si="3"/>
        <v>0</v>
      </c>
      <c r="N19" s="283">
        <f t="shared" si="3"/>
        <v>0</v>
      </c>
      <c r="O19" s="283">
        <f t="shared" si="3"/>
        <v>0</v>
      </c>
      <c r="P19" s="283">
        <f t="shared" si="3"/>
        <v>0</v>
      </c>
      <c r="Q19" s="283">
        <f t="shared" si="3"/>
        <v>0</v>
      </c>
      <c r="R19" s="617">
        <f t="shared" si="3"/>
        <v>0</v>
      </c>
      <c r="S19" s="620">
        <f>S18+R19</f>
        <v>0</v>
      </c>
      <c r="T19" s="617"/>
      <c r="U19" s="617"/>
      <c r="V19" s="617"/>
      <c r="W19" s="617"/>
      <c r="X19" s="617"/>
    </row>
    <row r="20" spans="1:27" s="231" customFormat="1" ht="8" hidden="1" thickTop="1" thickBot="1">
      <c r="A20" s="233" t="s">
        <v>110</v>
      </c>
      <c r="B20" s="284"/>
      <c r="C20" s="87"/>
      <c r="D20" s="87"/>
      <c r="E20" s="94"/>
      <c r="F20" s="232"/>
      <c r="G20" s="232">
        <f t="shared" ref="G20:O20" si="4">IF(ISERROR(G13-E13),0,IF(OR(G13-E13&lt;7,LEN(G12)&gt;6),0,1))</f>
        <v>0</v>
      </c>
      <c r="H20" s="232">
        <f t="shared" si="4"/>
        <v>0</v>
      </c>
      <c r="I20" s="232">
        <f t="shared" si="4"/>
        <v>0</v>
      </c>
      <c r="J20" s="232">
        <f t="shared" si="4"/>
        <v>0</v>
      </c>
      <c r="K20" s="232">
        <f t="shared" si="4"/>
        <v>0</v>
      </c>
      <c r="L20" s="232">
        <f t="shared" si="4"/>
        <v>0</v>
      </c>
      <c r="M20" s="232">
        <f t="shared" si="4"/>
        <v>0</v>
      </c>
      <c r="N20" s="232">
        <f t="shared" si="4"/>
        <v>0</v>
      </c>
      <c r="O20" s="232">
        <f t="shared" si="4"/>
        <v>0</v>
      </c>
      <c r="P20" s="232">
        <f>IF(ISERROR(P13-O13),0,IF(OR(P13-O13&lt;7,LEN(P12)&gt;6),0,1))</f>
        <v>0</v>
      </c>
      <c r="Q20" s="232">
        <f>IF(ISERROR(Q13-P13),0,IF(OR(Q13-P13&lt;7,LEN(Q12)&gt;6),0,1))</f>
        <v>0</v>
      </c>
      <c r="R20" s="232">
        <f>IF(ISERROR(R13-Q13),0,IF(OR(R13-Q13&lt;7,LEN(R12)&gt;6),0,1))</f>
        <v>0</v>
      </c>
      <c r="S20" s="619">
        <f>IF(ISERROR(S13-Q13),0,IF(OR(S13-Q13&lt;7,LEN(S12)&gt;6),0,1))</f>
        <v>0</v>
      </c>
      <c r="T20" s="232"/>
      <c r="U20" s="232"/>
      <c r="V20" s="232"/>
      <c r="W20" s="232"/>
      <c r="X20" s="232"/>
    </row>
    <row r="21" spans="1:27" ht="11.5" thickTop="1" thickBot="1">
      <c r="A21" s="62" t="s">
        <v>14</v>
      </c>
      <c r="B21" s="119"/>
      <c r="C21" s="19"/>
      <c r="D21" s="21"/>
      <c r="E21" s="469"/>
      <c r="S21" s="6"/>
      <c r="AA21" s="14"/>
    </row>
    <row r="22" spans="1:27" s="68" customFormat="1" ht="7.5" thickTop="1">
      <c r="A22" s="139" t="s">
        <v>23</v>
      </c>
      <c r="B22" s="76"/>
      <c r="C22" s="446"/>
      <c r="D22" s="455"/>
      <c r="E22" s="446"/>
      <c r="F22" s="65"/>
      <c r="G22" s="76"/>
      <c r="H22" s="76"/>
      <c r="I22" s="76"/>
      <c r="J22" s="76"/>
      <c r="K22" s="76"/>
      <c r="L22" s="49"/>
      <c r="M22" s="49"/>
      <c r="N22" s="122"/>
      <c r="O22" s="122"/>
      <c r="P22" s="122"/>
      <c r="Q22" s="122"/>
      <c r="R22" s="122"/>
      <c r="S22" s="140"/>
    </row>
    <row r="23" spans="1:27" s="68" customFormat="1">
      <c r="A23" s="130" t="s">
        <v>24</v>
      </c>
      <c r="B23" s="66"/>
      <c r="C23" s="447"/>
      <c r="D23" s="400"/>
      <c r="E23" s="447"/>
      <c r="F23" s="63"/>
      <c r="G23" s="66"/>
      <c r="H23" s="66"/>
      <c r="I23" s="66"/>
      <c r="J23" s="66"/>
      <c r="K23" s="66"/>
      <c r="L23" s="51"/>
      <c r="M23" s="51"/>
      <c r="N23" s="123"/>
      <c r="O23" s="123"/>
      <c r="P23" s="123"/>
      <c r="Q23" s="123"/>
      <c r="R23" s="123"/>
      <c r="S23" s="129"/>
    </row>
    <row r="24" spans="1:27" s="68" customFormat="1" ht="7.5" thickBot="1">
      <c r="A24" s="131" t="s">
        <v>27</v>
      </c>
      <c r="B24" s="405"/>
      <c r="C24" s="448"/>
      <c r="D24" s="456"/>
      <c r="E24" s="448"/>
      <c r="F24" s="63"/>
      <c r="G24" s="66"/>
      <c r="H24" s="66"/>
      <c r="I24" s="66"/>
      <c r="J24" s="66"/>
      <c r="K24" s="66"/>
      <c r="L24" s="51"/>
      <c r="M24" s="51"/>
      <c r="N24" s="123"/>
      <c r="O24" s="123"/>
      <c r="P24" s="123"/>
      <c r="Q24" s="123"/>
      <c r="R24" s="123"/>
      <c r="S24" s="129"/>
      <c r="AA24" s="43"/>
    </row>
    <row r="25" spans="1:27" s="43" customFormat="1" ht="11.5" thickTop="1" thickBot="1">
      <c r="A25" s="103" t="s">
        <v>70</v>
      </c>
      <c r="B25" s="406"/>
      <c r="C25" s="66"/>
      <c r="D25" s="66"/>
      <c r="E25" s="406"/>
      <c r="F25" s="72"/>
      <c r="G25" s="75"/>
      <c r="H25" s="75"/>
      <c r="I25" s="75"/>
      <c r="J25" s="75"/>
      <c r="K25" s="75"/>
      <c r="L25" s="74"/>
      <c r="M25" s="74"/>
      <c r="N25" s="74"/>
      <c r="O25" s="74"/>
      <c r="P25" s="74"/>
      <c r="Q25" s="74"/>
      <c r="R25" s="74"/>
      <c r="S25" s="107"/>
      <c r="AA25" s="264"/>
    </row>
    <row r="26" spans="1:27" ht="11.5" thickTop="1" thickBot="1">
      <c r="A26" s="11" t="s">
        <v>72</v>
      </c>
      <c r="B26" s="407"/>
      <c r="C26" s="449"/>
      <c r="D26" s="457"/>
      <c r="E26" s="470"/>
      <c r="F26" s="3" t="s">
        <v>100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5"/>
      <c r="AA26" s="68"/>
    </row>
    <row r="27" spans="1:27" s="68" customFormat="1" ht="7.5" thickTop="1">
      <c r="A27" s="139" t="s">
        <v>37</v>
      </c>
      <c r="B27" s="76"/>
      <c r="C27" s="446"/>
      <c r="D27" s="455"/>
      <c r="E27" s="446"/>
      <c r="F27" s="65"/>
      <c r="G27" s="76"/>
      <c r="H27" s="76"/>
      <c r="I27" s="76"/>
      <c r="J27" s="76"/>
      <c r="K27" s="76"/>
      <c r="L27" s="76"/>
      <c r="M27" s="76"/>
      <c r="N27" s="122"/>
      <c r="O27" s="122"/>
      <c r="P27" s="122"/>
      <c r="Q27" s="122"/>
      <c r="R27" s="122"/>
      <c r="S27" s="140"/>
    </row>
    <row r="28" spans="1:27" s="68" customFormat="1">
      <c r="A28" s="130" t="s">
        <v>38</v>
      </c>
      <c r="B28" s="66"/>
      <c r="C28" s="447"/>
      <c r="D28" s="400"/>
      <c r="E28" s="447"/>
      <c r="F28" s="63"/>
      <c r="G28" s="66"/>
      <c r="H28" s="66"/>
      <c r="I28" s="66"/>
      <c r="J28" s="66"/>
      <c r="K28" s="66"/>
      <c r="L28" s="66"/>
      <c r="M28" s="66"/>
      <c r="N28" s="123"/>
      <c r="O28" s="123"/>
      <c r="P28" s="123"/>
      <c r="Q28" s="123"/>
      <c r="R28" s="123"/>
      <c r="S28" s="129"/>
    </row>
    <row r="29" spans="1:27" s="68" customFormat="1">
      <c r="A29" s="130" t="s">
        <v>39</v>
      </c>
      <c r="B29" s="66"/>
      <c r="C29" s="447"/>
      <c r="D29" s="400"/>
      <c r="E29" s="447"/>
      <c r="F29" s="63"/>
      <c r="G29" s="66"/>
      <c r="H29" s="66"/>
      <c r="I29" s="66"/>
      <c r="J29" s="66"/>
      <c r="K29" s="66"/>
      <c r="L29" s="66"/>
      <c r="M29" s="66"/>
      <c r="N29" s="123"/>
      <c r="O29" s="123"/>
      <c r="P29" s="123"/>
      <c r="Q29" s="123"/>
      <c r="R29" s="123"/>
      <c r="S29" s="129"/>
    </row>
    <row r="30" spans="1:27" s="68" customFormat="1">
      <c r="A30" s="132" t="s">
        <v>41</v>
      </c>
      <c r="B30" s="89"/>
      <c r="C30" s="90"/>
      <c r="D30" s="90"/>
      <c r="E30" s="89"/>
      <c r="F30" s="92"/>
      <c r="G30" s="89"/>
      <c r="H30" s="89"/>
      <c r="I30" s="89"/>
      <c r="J30" s="89"/>
      <c r="K30" s="89"/>
      <c r="L30" s="89"/>
      <c r="M30" s="89"/>
      <c r="N30" s="123"/>
      <c r="O30" s="123"/>
      <c r="P30" s="123"/>
      <c r="Q30" s="123"/>
      <c r="R30" s="123"/>
      <c r="S30" s="129"/>
    </row>
    <row r="31" spans="1:27" s="144" customFormat="1">
      <c r="A31" s="141" t="s">
        <v>42</v>
      </c>
      <c r="B31" s="42"/>
      <c r="C31" s="42"/>
      <c r="D31" s="42"/>
      <c r="E31" s="42">
        <f>SUM(E27:E30)</f>
        <v>0</v>
      </c>
      <c r="F31" s="42">
        <f>SUM(F27:F30)</f>
        <v>0</v>
      </c>
      <c r="G31" s="42">
        <f>SUM(G27:G30)</f>
        <v>0</v>
      </c>
      <c r="H31" s="42">
        <f>SUM(H27:H30)</f>
        <v>0</v>
      </c>
      <c r="I31" s="42">
        <f>SUM(I27:I30)</f>
        <v>0</v>
      </c>
      <c r="J31" s="42"/>
      <c r="K31" s="42"/>
      <c r="L31" s="42"/>
      <c r="M31" s="42"/>
      <c r="N31" s="142"/>
      <c r="O31" s="142"/>
      <c r="P31" s="142"/>
      <c r="Q31" s="142"/>
      <c r="R31" s="142"/>
      <c r="S31" s="143"/>
      <c r="AA31" s="68"/>
    </row>
    <row r="32" spans="1:27" s="144" customFormat="1" ht="7.5" thickBot="1">
      <c r="A32" s="145" t="s">
        <v>83</v>
      </c>
      <c r="B32" s="200"/>
      <c r="C32" s="450"/>
      <c r="D32" s="458"/>
      <c r="E32" s="450"/>
      <c r="F32" s="465"/>
      <c r="G32" s="200"/>
      <c r="H32" s="200"/>
      <c r="I32" s="200"/>
      <c r="J32" s="200"/>
      <c r="K32" s="200"/>
      <c r="L32" s="200"/>
      <c r="M32" s="200"/>
      <c r="N32" s="147"/>
      <c r="O32" s="147"/>
      <c r="P32" s="146"/>
      <c r="Q32" s="146"/>
      <c r="R32" s="146"/>
      <c r="S32" s="159"/>
      <c r="AA32" s="43"/>
    </row>
    <row r="33" spans="1:208" s="43" customFormat="1" ht="11.5" thickTop="1" thickBot="1">
      <c r="A33" s="84" t="s">
        <v>73</v>
      </c>
      <c r="B33" s="102"/>
      <c r="C33" s="312"/>
      <c r="D33" s="459"/>
      <c r="E33" s="405"/>
      <c r="F33" s="102"/>
      <c r="G33" s="102"/>
      <c r="H33" s="102"/>
      <c r="I33" s="102"/>
      <c r="J33" s="102"/>
      <c r="K33" s="102"/>
      <c r="L33" s="102"/>
      <c r="M33" s="102"/>
      <c r="S33" s="214"/>
      <c r="U33" s="144"/>
      <c r="V33" s="144"/>
      <c r="AA33" s="68"/>
    </row>
    <row r="34" spans="1:208" s="68" customFormat="1" ht="7.5" thickTop="1">
      <c r="A34" s="139" t="s">
        <v>47</v>
      </c>
      <c r="B34" s="76"/>
      <c r="C34" s="49"/>
      <c r="D34" s="49"/>
      <c r="E34" s="76"/>
      <c r="F34" s="466"/>
      <c r="G34" s="76"/>
      <c r="H34" s="76"/>
      <c r="I34" s="76"/>
      <c r="J34" s="76"/>
      <c r="K34" s="76"/>
      <c r="L34" s="76"/>
      <c r="M34" s="76"/>
      <c r="N34" s="122"/>
      <c r="O34" s="122"/>
      <c r="P34" s="122"/>
      <c r="Q34" s="122"/>
      <c r="R34" s="122"/>
      <c r="S34" s="140"/>
      <c r="U34" s="144"/>
      <c r="V34" s="144"/>
    </row>
    <row r="35" spans="1:208" s="68" customFormat="1">
      <c r="A35" s="130" t="s">
        <v>48</v>
      </c>
      <c r="B35" s="66"/>
      <c r="C35" s="66"/>
      <c r="D35" s="51"/>
      <c r="E35" s="66"/>
      <c r="F35" s="63"/>
      <c r="G35" s="66"/>
      <c r="H35" s="66"/>
      <c r="I35" s="66"/>
      <c r="J35" s="66"/>
      <c r="K35" s="66"/>
      <c r="L35" s="66"/>
      <c r="M35" s="66"/>
      <c r="N35" s="123"/>
      <c r="O35" s="123"/>
      <c r="P35" s="123"/>
      <c r="Q35" s="123"/>
      <c r="R35" s="123"/>
      <c r="S35" s="129"/>
      <c r="U35" s="144"/>
      <c r="V35" s="144"/>
    </row>
    <row r="36" spans="1:208" s="68" customFormat="1">
      <c r="A36" s="130" t="s">
        <v>52</v>
      </c>
      <c r="B36" s="66"/>
      <c r="C36" s="51"/>
      <c r="D36" s="51"/>
      <c r="E36" s="66"/>
      <c r="F36" s="63"/>
      <c r="G36" s="66"/>
      <c r="H36" s="105"/>
      <c r="I36" s="105"/>
      <c r="J36" s="66"/>
      <c r="K36" s="66"/>
      <c r="L36" s="66"/>
      <c r="M36" s="66"/>
      <c r="N36" s="123"/>
      <c r="O36" s="123"/>
      <c r="P36" s="123"/>
      <c r="Q36" s="123"/>
      <c r="R36" s="123"/>
      <c r="S36" s="129"/>
      <c r="T36" s="106"/>
      <c r="U36" s="144"/>
      <c r="V36" s="144"/>
    </row>
    <row r="37" spans="1:208" s="68" customFormat="1">
      <c r="A37" s="132" t="s">
        <v>49</v>
      </c>
      <c r="B37" s="616"/>
      <c r="C37" s="451"/>
      <c r="D37" s="460"/>
      <c r="E37" s="451"/>
      <c r="F37" s="92"/>
      <c r="G37" s="89"/>
      <c r="H37" s="215"/>
      <c r="I37" s="215"/>
      <c r="J37" s="89"/>
      <c r="K37" s="89"/>
      <c r="L37" s="89"/>
      <c r="M37" s="89"/>
      <c r="N37" s="123"/>
      <c r="O37" s="123"/>
      <c r="P37" s="123"/>
      <c r="Q37" s="123"/>
      <c r="R37" s="123"/>
      <c r="S37" s="158"/>
      <c r="T37" s="161"/>
      <c r="U37" s="144"/>
      <c r="V37" s="144"/>
    </row>
    <row r="38" spans="1:208" s="144" customFormat="1" ht="7.5" thickBot="1">
      <c r="A38" s="141" t="s">
        <v>74</v>
      </c>
      <c r="B38" s="46"/>
      <c r="C38" s="46"/>
      <c r="D38" s="46"/>
      <c r="E38" s="46">
        <f>SUM(E34:E37)</f>
        <v>0</v>
      </c>
      <c r="F38" s="46">
        <f>SUM(F34:F37)</f>
        <v>0</v>
      </c>
      <c r="G38" s="46">
        <f>SUM(G34:G37)</f>
        <v>0</v>
      </c>
      <c r="H38" s="46">
        <f>SUM(H34:H37)</f>
        <v>0</v>
      </c>
      <c r="I38" s="46">
        <f>SUM(I34:I37)</f>
        <v>0</v>
      </c>
      <c r="J38" s="42"/>
      <c r="K38" s="42"/>
      <c r="L38" s="42"/>
      <c r="M38" s="42"/>
      <c r="N38" s="147"/>
      <c r="O38" s="147"/>
      <c r="P38" s="147"/>
      <c r="Q38" s="147"/>
      <c r="R38" s="146"/>
      <c r="S38" s="159"/>
      <c r="T38" s="621"/>
      <c r="AA38" s="68"/>
    </row>
    <row r="39" spans="1:208" s="68" customFormat="1" ht="11.5" thickTop="1" thickBot="1">
      <c r="A39" s="148" t="s">
        <v>53</v>
      </c>
      <c r="B39" s="49"/>
      <c r="C39" s="49"/>
      <c r="D39" s="49"/>
      <c r="E39" s="49">
        <f>SUM(E32:E37)+E31</f>
        <v>0</v>
      </c>
      <c r="F39" s="49">
        <f>SUM(F32:F37)+F31</f>
        <v>0</v>
      </c>
      <c r="G39" s="49">
        <f>SUM(G32:G37)+G31</f>
        <v>0</v>
      </c>
      <c r="H39" s="49">
        <f>SUM(H32:H37)+H31</f>
        <v>0</v>
      </c>
      <c r="I39" s="49">
        <f>SUM(I32:I37)+I31</f>
        <v>0</v>
      </c>
      <c r="J39" s="75"/>
      <c r="K39" s="75"/>
      <c r="L39" s="75"/>
      <c r="M39" s="75"/>
      <c r="N39" s="149"/>
      <c r="O39" s="149"/>
      <c r="P39" s="149"/>
      <c r="Q39" s="149"/>
      <c r="R39" s="149"/>
      <c r="S39" s="150"/>
      <c r="T39" s="106"/>
      <c r="U39" s="144"/>
      <c r="V39" s="144"/>
      <c r="AA39" s="183"/>
    </row>
    <row r="40" spans="1:208" s="68" customFormat="1" ht="8" thickTop="1" thickBot="1">
      <c r="A40" s="258" t="s">
        <v>119</v>
      </c>
      <c r="B40" s="261">
        <f>B25-B39</f>
        <v>0</v>
      </c>
      <c r="C40" s="261">
        <f t="shared" ref="C40:I40" si="5">C25-C39</f>
        <v>0</v>
      </c>
      <c r="D40" s="261">
        <f t="shared" si="5"/>
        <v>0</v>
      </c>
      <c r="E40" s="261">
        <f t="shared" si="5"/>
        <v>0</v>
      </c>
      <c r="F40" s="261">
        <f t="shared" si="5"/>
        <v>0</v>
      </c>
      <c r="G40" s="261">
        <f t="shared" si="5"/>
        <v>0</v>
      </c>
      <c r="H40" s="261">
        <f t="shared" si="5"/>
        <v>0</v>
      </c>
      <c r="I40" s="261">
        <f t="shared" si="5"/>
        <v>0</v>
      </c>
      <c r="J40" s="76"/>
      <c r="K40" s="76"/>
      <c r="L40" s="49"/>
      <c r="M40" s="49"/>
      <c r="N40" s="122"/>
      <c r="O40" s="122"/>
      <c r="P40" s="122"/>
      <c r="Q40" s="122"/>
      <c r="R40" s="122"/>
      <c r="S40" s="140"/>
      <c r="T40" s="106"/>
      <c r="U40" s="144"/>
      <c r="V40" s="144"/>
      <c r="AA40" s="183"/>
    </row>
    <row r="41" spans="1:208" s="178" customFormat="1" ht="8" thickTop="1" thickBot="1">
      <c r="A41" s="86" t="s">
        <v>118</v>
      </c>
      <c r="B41" s="310" t="str">
        <f t="shared" ref="B41:I41" si="6">IF(B40=0,"","post bal.")</f>
        <v/>
      </c>
      <c r="C41" s="310" t="str">
        <f t="shared" si="6"/>
        <v/>
      </c>
      <c r="D41" s="310" t="str">
        <f t="shared" si="6"/>
        <v/>
      </c>
      <c r="E41" s="310" t="str">
        <f t="shared" si="6"/>
        <v/>
      </c>
      <c r="F41" s="467" t="str">
        <f t="shared" si="6"/>
        <v/>
      </c>
      <c r="G41" s="310" t="str">
        <f t="shared" si="6"/>
        <v/>
      </c>
      <c r="H41" s="310" t="str">
        <f t="shared" si="6"/>
        <v/>
      </c>
      <c r="I41" s="310" t="str">
        <f t="shared" si="6"/>
        <v/>
      </c>
      <c r="J41" s="216" t="str">
        <f>IF(J39=0,"","post bal.")</f>
        <v/>
      </c>
      <c r="K41" s="216" t="str">
        <f>IF(K39=0,"","post bal.")</f>
        <v/>
      </c>
      <c r="L41" s="219" t="str">
        <f>IF(L39=0,"","post bal.")</f>
        <v/>
      </c>
      <c r="M41" s="219" t="str">
        <f>IF(M39=0,"","post bal.")</f>
        <v/>
      </c>
      <c r="N41" s="219" t="str">
        <f>IF(N39=0,"","post bal.")</f>
        <v/>
      </c>
      <c r="O41" s="180"/>
      <c r="P41" s="180"/>
      <c r="Q41" s="180"/>
      <c r="R41" s="180"/>
      <c r="S41" s="181"/>
      <c r="T41" s="622"/>
      <c r="U41" s="144"/>
      <c r="V41" s="144"/>
      <c r="AA41" s="182">
        <f>SUM(B42:Y42)</f>
        <v>0</v>
      </c>
    </row>
    <row r="42" spans="1:208" s="68" customFormat="1" ht="7.5" hidden="1" thickTop="1">
      <c r="B42" s="67">
        <f t="shared" ref="B42:G42" si="7">IF(B41="post bal.",B40,0)</f>
        <v>0</v>
      </c>
      <c r="C42" s="67">
        <f t="shared" si="7"/>
        <v>0</v>
      </c>
      <c r="D42" s="67">
        <f t="shared" si="7"/>
        <v>0</v>
      </c>
      <c r="E42" s="67">
        <f t="shared" si="7"/>
        <v>0</v>
      </c>
      <c r="F42" s="67">
        <f t="shared" si="7"/>
        <v>0</v>
      </c>
      <c r="G42" s="67">
        <f t="shared" si="7"/>
        <v>0</v>
      </c>
      <c r="I42" s="67">
        <f>IF(I41="post bal.",I40,0)</f>
        <v>0</v>
      </c>
      <c r="J42" s="67">
        <f t="shared" ref="J42:R42" si="8">IF(J41="post bal.",J39,0)</f>
        <v>0</v>
      </c>
      <c r="K42" s="67">
        <f t="shared" si="8"/>
        <v>0</v>
      </c>
      <c r="L42" s="67">
        <f t="shared" si="8"/>
        <v>0</v>
      </c>
      <c r="M42" s="67">
        <f t="shared" si="8"/>
        <v>0</v>
      </c>
      <c r="N42" s="67">
        <f t="shared" si="8"/>
        <v>0</v>
      </c>
      <c r="O42" s="67">
        <f t="shared" si="8"/>
        <v>0</v>
      </c>
      <c r="P42" s="67">
        <f t="shared" si="8"/>
        <v>0</v>
      </c>
      <c r="Q42" s="67">
        <f t="shared" si="8"/>
        <v>0</v>
      </c>
      <c r="R42" s="67">
        <f t="shared" si="8"/>
        <v>0</v>
      </c>
      <c r="U42" s="144"/>
      <c r="V42" s="144"/>
      <c r="Y42" s="67"/>
      <c r="AB42" s="68" t="s">
        <v>67</v>
      </c>
      <c r="AC42" s="68" t="s">
        <v>67</v>
      </c>
    </row>
    <row r="43" spans="1:208" ht="7.5" thickTop="1">
      <c r="U43" s="144"/>
      <c r="V43" s="144"/>
      <c r="AA43" s="68"/>
    </row>
    <row r="44" spans="1:208" ht="11.5" hidden="1" thickTop="1" thickBot="1">
      <c r="A44" s="11" t="s">
        <v>9</v>
      </c>
      <c r="U44" s="144"/>
      <c r="V44" s="144"/>
      <c r="AA44" s="14"/>
    </row>
    <row r="45" spans="1:208" ht="7.5" hidden="1" thickTop="1">
      <c r="A45" s="78" t="s">
        <v>68</v>
      </c>
      <c r="B45" s="55"/>
      <c r="C45" s="17"/>
      <c r="D45" s="17"/>
      <c r="E45" s="17"/>
      <c r="F45" s="17"/>
      <c r="G45" s="20"/>
      <c r="H45" s="202"/>
      <c r="I45" s="137"/>
      <c r="J45" s="137"/>
      <c r="K45" s="137"/>
      <c r="L45" s="137"/>
      <c r="M45" s="137"/>
      <c r="N45" s="137"/>
      <c r="O45" s="137"/>
      <c r="P45" s="279"/>
      <c r="Q45" s="137"/>
      <c r="R45" s="137"/>
      <c r="S45" s="137"/>
      <c r="T45" s="137"/>
      <c r="U45" s="144"/>
      <c r="V45" s="144"/>
      <c r="W45" s="137"/>
      <c r="X45" s="137"/>
      <c r="Y45" s="137"/>
      <c r="Z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</row>
    <row r="46" spans="1:208" hidden="1">
      <c r="A46" s="7" t="s">
        <v>69</v>
      </c>
      <c r="B46" s="77"/>
      <c r="C46" s="77"/>
      <c r="D46" s="77"/>
      <c r="E46" s="77"/>
      <c r="F46" s="79"/>
      <c r="G46" s="80"/>
      <c r="H46" s="203"/>
      <c r="I46" s="80"/>
      <c r="J46" s="80"/>
      <c r="K46" s="80"/>
      <c r="L46" s="80"/>
      <c r="M46" s="80"/>
      <c r="N46" s="80"/>
      <c r="O46" s="80"/>
      <c r="P46" s="80"/>
      <c r="Q46" s="80"/>
      <c r="R46" s="137"/>
      <c r="S46" s="137"/>
      <c r="T46" s="137"/>
      <c r="U46" s="144"/>
      <c r="V46" s="144"/>
      <c r="W46" s="137"/>
      <c r="X46" s="137"/>
      <c r="Y46" s="137"/>
    </row>
    <row r="47" spans="1:208" hidden="1">
      <c r="A47" s="93" t="s">
        <v>12</v>
      </c>
      <c r="B47" s="94"/>
      <c r="C47" s="94"/>
      <c r="D47" s="94"/>
      <c r="E47" s="94"/>
      <c r="F47" s="94"/>
      <c r="G47" s="96"/>
      <c r="H47" s="204"/>
      <c r="U47" s="144"/>
      <c r="V47" s="144"/>
    </row>
    <row r="48" spans="1:208" ht="7.5" hidden="1" thickBot="1">
      <c r="A48" s="97" t="s">
        <v>13</v>
      </c>
      <c r="B48" s="267"/>
      <c r="C48" s="88"/>
      <c r="D48" s="88"/>
      <c r="E48" s="88"/>
      <c r="F48" s="88"/>
      <c r="G48" s="99"/>
      <c r="H48" s="9"/>
      <c r="U48" s="144"/>
      <c r="V48" s="144"/>
    </row>
    <row r="49" spans="1:27" ht="7.5" hidden="1" thickTop="1">
      <c r="A49" s="239" t="s">
        <v>111</v>
      </c>
      <c r="B49" s="240">
        <f>IF(OR(ISTEXT(B46),B46=0),Summary!$E$1-7,B46-MOD(B46-Summary!$E$1,7))</f>
        <v>45407</v>
      </c>
      <c r="C49" s="240">
        <f>IF(OR(ISTEXT(C46),C46=0),Summary!$E$1-7,C46-MOD(C46-Summary!$E$1,7))</f>
        <v>45407</v>
      </c>
      <c r="D49" s="240">
        <f>IF(OR(ISTEXT(D46),D46=0),Summary!$E$1-7,D46-MOD(D46-Summary!$E$1,7))</f>
        <v>45407</v>
      </c>
      <c r="E49" s="240">
        <f>IF(OR(ISTEXT(E46),E46=0),Summary!$E$1-7,E46-MOD(E46-Summary!$E$1,7))</f>
        <v>45407</v>
      </c>
      <c r="F49" s="240">
        <f>IF(OR(ISTEXT(F46),F46=0),Summary!$E$1-7,F46-MOD(F46-Summary!$E$1,7))</f>
        <v>45407</v>
      </c>
      <c r="G49" s="240">
        <f>IF(OR(ISTEXT(G46),G46=0),Summary!$E$1-7,G46-MOD(G46-Summary!$E$1,7))</f>
        <v>45407</v>
      </c>
      <c r="H49" s="9"/>
      <c r="U49" s="144"/>
      <c r="V49" s="144"/>
    </row>
    <row r="50" spans="1:27" hidden="1">
      <c r="A50" s="233" t="s">
        <v>109</v>
      </c>
      <c r="B50" s="232"/>
      <c r="C50" s="232"/>
      <c r="D50" s="232"/>
      <c r="E50" s="232"/>
      <c r="F50" s="232"/>
      <c r="G50" s="232"/>
      <c r="H50" s="9"/>
      <c r="U50" s="144"/>
      <c r="V50" s="144"/>
    </row>
    <row r="51" spans="1:27" ht="7.5" hidden="1" thickBot="1">
      <c r="A51" s="233" t="s">
        <v>110</v>
      </c>
      <c r="B51" s="232">
        <f t="shared" ref="B51:G51" si="9">IF(ISERROR(B46-A46),0,IF(OR(B46-A46&lt;7,LEN(B45)&gt;6),0,1))</f>
        <v>0</v>
      </c>
      <c r="C51" s="232">
        <f t="shared" si="9"/>
        <v>0</v>
      </c>
      <c r="D51" s="232">
        <f t="shared" si="9"/>
        <v>0</v>
      </c>
      <c r="E51" s="232">
        <f t="shared" si="9"/>
        <v>0</v>
      </c>
      <c r="F51" s="232">
        <f t="shared" si="9"/>
        <v>0</v>
      </c>
      <c r="G51" s="232">
        <f t="shared" si="9"/>
        <v>0</v>
      </c>
      <c r="H51" s="9"/>
      <c r="U51" s="144"/>
      <c r="V51" s="144"/>
    </row>
    <row r="52" spans="1:27" ht="11.5" hidden="1" thickTop="1" thickBot="1">
      <c r="A52" s="62" t="s">
        <v>14</v>
      </c>
      <c r="H52" s="9"/>
      <c r="U52" s="144"/>
      <c r="V52" s="144"/>
      <c r="AA52" s="14"/>
    </row>
    <row r="53" spans="1:27" s="68" customFormat="1" ht="7.5" hidden="1" thickTop="1">
      <c r="A53" s="139" t="s">
        <v>23</v>
      </c>
      <c r="B53" s="122"/>
      <c r="C53" s="122"/>
      <c r="D53" s="122"/>
      <c r="E53" s="122"/>
      <c r="F53" s="122"/>
      <c r="G53" s="122"/>
      <c r="H53" s="106"/>
      <c r="U53" s="144"/>
      <c r="V53" s="144"/>
    </row>
    <row r="54" spans="1:27" s="68" customFormat="1" hidden="1">
      <c r="A54" s="130" t="s">
        <v>24</v>
      </c>
      <c r="B54" s="123"/>
      <c r="C54" s="123"/>
      <c r="D54" s="123"/>
      <c r="E54" s="123"/>
      <c r="F54" s="123"/>
      <c r="G54" s="123"/>
      <c r="H54" s="106"/>
      <c r="U54" s="144"/>
      <c r="V54" s="144"/>
    </row>
    <row r="55" spans="1:27" s="68" customFormat="1" ht="7.5" hidden="1" thickBot="1">
      <c r="A55" s="131" t="s">
        <v>27</v>
      </c>
      <c r="B55" s="123"/>
      <c r="C55" s="123"/>
      <c r="D55" s="123"/>
      <c r="E55" s="123"/>
      <c r="F55" s="123"/>
      <c r="G55" s="123"/>
      <c r="H55" s="106"/>
      <c r="U55" s="144"/>
      <c r="V55" s="144"/>
      <c r="AA55" s="43"/>
    </row>
    <row r="56" spans="1:27" s="43" customFormat="1" ht="11.5" hidden="1" thickTop="1" thickBot="1">
      <c r="A56" s="103" t="s">
        <v>70</v>
      </c>
      <c r="B56" s="71">
        <f t="shared" ref="B56:G56" si="10">SUM(B53:B55)</f>
        <v>0</v>
      </c>
      <c r="C56" s="74">
        <f t="shared" si="10"/>
        <v>0</v>
      </c>
      <c r="D56" s="74">
        <f t="shared" si="10"/>
        <v>0</v>
      </c>
      <c r="E56" s="74">
        <f t="shared" si="10"/>
        <v>0</v>
      </c>
      <c r="F56" s="74">
        <f t="shared" si="10"/>
        <v>0</v>
      </c>
      <c r="G56" s="74">
        <f t="shared" si="10"/>
        <v>0</v>
      </c>
      <c r="H56" s="44"/>
      <c r="U56" s="144"/>
      <c r="V56" s="144"/>
      <c r="AA56" s="87"/>
    </row>
    <row r="57" spans="1:27" ht="11.5" hidden="1" thickTop="1" thickBot="1">
      <c r="A57" s="11" t="s">
        <v>72</v>
      </c>
      <c r="B57" s="3" t="s">
        <v>100</v>
      </c>
      <c r="C57" s="3" t="s">
        <v>100</v>
      </c>
      <c r="D57" s="3" t="s">
        <v>100</v>
      </c>
      <c r="E57" s="3" t="s">
        <v>100</v>
      </c>
      <c r="F57" s="3" t="s">
        <v>100</v>
      </c>
      <c r="G57" s="3" t="s">
        <v>100</v>
      </c>
      <c r="H57" s="9"/>
      <c r="U57" s="144"/>
      <c r="V57" s="144"/>
      <c r="AA57" s="68"/>
    </row>
    <row r="58" spans="1:27" s="68" customFormat="1" ht="7.5" hidden="1" thickTop="1">
      <c r="A58" s="139" t="s">
        <v>37</v>
      </c>
      <c r="B58" s="122"/>
      <c r="C58" s="122"/>
      <c r="D58" s="122"/>
      <c r="E58" s="122"/>
      <c r="F58" s="122"/>
      <c r="G58" s="122"/>
      <c r="H58" s="106"/>
      <c r="U58" s="144"/>
      <c r="V58" s="144"/>
    </row>
    <row r="59" spans="1:27" s="68" customFormat="1" hidden="1">
      <c r="A59" s="130" t="s">
        <v>38</v>
      </c>
      <c r="B59" s="123"/>
      <c r="C59" s="123"/>
      <c r="D59" s="123"/>
      <c r="E59" s="123"/>
      <c r="F59" s="123"/>
      <c r="G59" s="123"/>
      <c r="H59" s="106"/>
      <c r="U59" s="144"/>
      <c r="V59" s="144"/>
    </row>
    <row r="60" spans="1:27" s="68" customFormat="1" hidden="1">
      <c r="A60" s="130" t="s">
        <v>39</v>
      </c>
      <c r="B60" s="123"/>
      <c r="C60" s="123"/>
      <c r="D60" s="123"/>
      <c r="E60" s="123"/>
      <c r="F60" s="123"/>
      <c r="G60" s="123"/>
      <c r="H60" s="106"/>
      <c r="U60" s="144"/>
      <c r="V60" s="144"/>
    </row>
    <row r="61" spans="1:27" s="68" customFormat="1" hidden="1">
      <c r="A61" s="132" t="s">
        <v>41</v>
      </c>
      <c r="B61" s="123"/>
      <c r="C61" s="123"/>
      <c r="D61" s="123"/>
      <c r="E61" s="123"/>
      <c r="F61" s="123"/>
      <c r="G61" s="123"/>
      <c r="H61" s="106"/>
      <c r="U61" s="144"/>
      <c r="V61" s="144"/>
    </row>
    <row r="62" spans="1:27" s="68" customFormat="1" hidden="1">
      <c r="A62" s="141" t="s">
        <v>42</v>
      </c>
      <c r="B62" s="127">
        <f t="shared" ref="B62:G62" si="11">SUM(B58:B61)</f>
        <v>0</v>
      </c>
      <c r="C62" s="127">
        <f t="shared" si="11"/>
        <v>0</v>
      </c>
      <c r="D62" s="127">
        <f t="shared" si="11"/>
        <v>0</v>
      </c>
      <c r="E62" s="127">
        <f t="shared" si="11"/>
        <v>0</v>
      </c>
      <c r="F62" s="127">
        <f t="shared" si="11"/>
        <v>0</v>
      </c>
      <c r="G62" s="127">
        <f t="shared" si="11"/>
        <v>0</v>
      </c>
      <c r="H62" s="106"/>
      <c r="U62" s="144"/>
      <c r="V62" s="144"/>
    </row>
    <row r="63" spans="1:27" s="68" customFormat="1" ht="7.5" hidden="1" thickBot="1">
      <c r="A63" s="145" t="s">
        <v>83</v>
      </c>
      <c r="B63" s="160"/>
      <c r="C63" s="125"/>
      <c r="D63" s="125"/>
      <c r="E63" s="125"/>
      <c r="F63" s="125"/>
      <c r="G63" s="125"/>
      <c r="H63" s="106"/>
      <c r="U63" s="144"/>
      <c r="V63" s="144"/>
      <c r="AA63" s="43"/>
    </row>
    <row r="64" spans="1:27" s="43" customFormat="1" ht="11.5" hidden="1" thickTop="1" thickBot="1">
      <c r="A64" s="84" t="s">
        <v>73</v>
      </c>
      <c r="H64" s="44"/>
      <c r="U64" s="144"/>
      <c r="V64" s="144"/>
      <c r="AA64" s="68"/>
    </row>
    <row r="65" spans="1:29" s="68" customFormat="1" ht="7.5" hidden="1" thickTop="1">
      <c r="A65" s="139" t="s">
        <v>47</v>
      </c>
      <c r="B65" s="121"/>
      <c r="C65" s="122"/>
      <c r="D65" s="122"/>
      <c r="E65" s="122"/>
      <c r="F65" s="122"/>
      <c r="G65" s="122"/>
      <c r="H65" s="106"/>
      <c r="U65" s="144"/>
      <c r="V65" s="144"/>
    </row>
    <row r="66" spans="1:29" s="68" customFormat="1" hidden="1">
      <c r="A66" s="130" t="s">
        <v>48</v>
      </c>
      <c r="B66" s="106"/>
      <c r="C66" s="123"/>
      <c r="D66" s="123"/>
      <c r="E66" s="123"/>
      <c r="F66" s="123"/>
      <c r="G66" s="123"/>
      <c r="H66" s="106"/>
      <c r="U66" s="144"/>
      <c r="V66" s="144"/>
    </row>
    <row r="67" spans="1:29" s="68" customFormat="1" hidden="1">
      <c r="A67" s="130" t="s">
        <v>52</v>
      </c>
      <c r="B67" s="106"/>
      <c r="C67" s="123"/>
      <c r="D67" s="123"/>
      <c r="E67" s="123"/>
      <c r="F67" s="123"/>
      <c r="G67" s="123"/>
      <c r="H67" s="106"/>
      <c r="U67" s="144"/>
      <c r="V67" s="144"/>
    </row>
    <row r="68" spans="1:29" s="68" customFormat="1" hidden="1">
      <c r="A68" s="132" t="s">
        <v>49</v>
      </c>
      <c r="B68" s="161"/>
      <c r="C68" s="162"/>
      <c r="D68" s="162"/>
      <c r="E68" s="162"/>
      <c r="F68" s="162"/>
      <c r="G68" s="162"/>
      <c r="H68" s="106"/>
      <c r="U68" s="144"/>
      <c r="V68" s="144"/>
    </row>
    <row r="69" spans="1:29" s="68" customFormat="1" ht="7.5" hidden="1" thickBot="1">
      <c r="A69" s="141" t="s">
        <v>74</v>
      </c>
      <c r="B69" s="104">
        <f t="shared" ref="B69:G69" si="12">SUM(B65:B68)</f>
        <v>0</v>
      </c>
      <c r="C69" s="104">
        <f t="shared" si="12"/>
        <v>0</v>
      </c>
      <c r="D69" s="104">
        <f t="shared" si="12"/>
        <v>0</v>
      </c>
      <c r="E69" s="104">
        <f t="shared" si="12"/>
        <v>0</v>
      </c>
      <c r="F69" s="104">
        <f t="shared" si="12"/>
        <v>0</v>
      </c>
      <c r="G69" s="68">
        <f t="shared" si="12"/>
        <v>0</v>
      </c>
      <c r="H69" s="106"/>
      <c r="U69" s="144"/>
      <c r="V69" s="144"/>
    </row>
    <row r="70" spans="1:29" s="68" customFormat="1" ht="11.5" hidden="1" thickTop="1" thickBot="1">
      <c r="A70" s="148" t="s">
        <v>53</v>
      </c>
      <c r="B70" s="72">
        <f t="shared" ref="B70:G70" si="13">SUM(B63:B68)+B62</f>
        <v>0</v>
      </c>
      <c r="C70" s="149">
        <f t="shared" si="13"/>
        <v>0</v>
      </c>
      <c r="D70" s="149">
        <f t="shared" si="13"/>
        <v>0</v>
      </c>
      <c r="E70" s="149">
        <f t="shared" si="13"/>
        <v>0</v>
      </c>
      <c r="F70" s="149">
        <f t="shared" si="13"/>
        <v>0</v>
      </c>
      <c r="G70" s="149">
        <f t="shared" si="13"/>
        <v>0</v>
      </c>
      <c r="H70" s="106"/>
      <c r="U70" s="144"/>
      <c r="V70" s="144"/>
      <c r="AA70" s="87"/>
    </row>
    <row r="71" spans="1:29" s="68" customFormat="1" ht="8" hidden="1" thickTop="1" thickBot="1">
      <c r="A71" s="258" t="s">
        <v>119</v>
      </c>
      <c r="B71" s="266">
        <f t="shared" ref="B71:G71" si="14">B56-B70</f>
        <v>0</v>
      </c>
      <c r="C71" s="122">
        <f t="shared" si="14"/>
        <v>0</v>
      </c>
      <c r="D71" s="122">
        <f t="shared" si="14"/>
        <v>0</v>
      </c>
      <c r="E71" s="122">
        <f t="shared" si="14"/>
        <v>0</v>
      </c>
      <c r="F71" s="122">
        <f t="shared" si="14"/>
        <v>0</v>
      </c>
      <c r="G71" s="122">
        <f t="shared" si="14"/>
        <v>0</v>
      </c>
      <c r="H71" s="106"/>
      <c r="U71" s="144"/>
      <c r="V71" s="144"/>
      <c r="AA71" s="87"/>
    </row>
    <row r="72" spans="1:29" s="178" customFormat="1" ht="8" hidden="1" thickTop="1" thickBot="1">
      <c r="A72" s="86" t="s">
        <v>75</v>
      </c>
      <c r="B72" s="176" t="str">
        <f t="shared" ref="B72:G72" si="15">IF(B71=0,"","post bal.")</f>
        <v/>
      </c>
      <c r="C72" s="176" t="str">
        <f t="shared" si="15"/>
        <v/>
      </c>
      <c r="D72" s="176" t="str">
        <f t="shared" si="15"/>
        <v/>
      </c>
      <c r="E72" s="176" t="str">
        <f t="shared" si="15"/>
        <v/>
      </c>
      <c r="F72" s="176" t="str">
        <f t="shared" si="15"/>
        <v/>
      </c>
      <c r="G72" s="219" t="str">
        <f t="shared" si="15"/>
        <v/>
      </c>
      <c r="H72" s="201"/>
      <c r="U72" s="144"/>
      <c r="V72" s="144"/>
      <c r="AA72" s="182">
        <f>SUM(B73:Y73)</f>
        <v>0</v>
      </c>
    </row>
    <row r="73" spans="1:29" s="68" customFormat="1" ht="7.5" hidden="1" thickTop="1">
      <c r="B73" s="67">
        <f t="shared" ref="B73:G73" si="16">IF(B72="post bal.",B71,0)</f>
        <v>0</v>
      </c>
      <c r="C73" s="67">
        <f t="shared" si="16"/>
        <v>0</v>
      </c>
      <c r="D73" s="67">
        <f t="shared" si="16"/>
        <v>0</v>
      </c>
      <c r="E73" s="67">
        <f t="shared" si="16"/>
        <v>0</v>
      </c>
      <c r="F73" s="67">
        <f t="shared" si="16"/>
        <v>0</v>
      </c>
      <c r="G73" s="67">
        <f t="shared" si="16"/>
        <v>0</v>
      </c>
      <c r="H73" s="68">
        <f t="shared" ref="H73:O73" si="17">IF(H72="post bal.",H70,0)</f>
        <v>0</v>
      </c>
      <c r="I73" s="68">
        <f t="shared" si="17"/>
        <v>0</v>
      </c>
      <c r="J73" s="68">
        <f t="shared" si="17"/>
        <v>0</v>
      </c>
      <c r="K73" s="68">
        <f t="shared" si="17"/>
        <v>0</v>
      </c>
      <c r="L73" s="68">
        <f t="shared" si="17"/>
        <v>0</v>
      </c>
      <c r="M73" s="68">
        <f t="shared" si="17"/>
        <v>0</v>
      </c>
      <c r="N73" s="68">
        <f t="shared" si="17"/>
        <v>0</v>
      </c>
      <c r="O73" s="68">
        <f t="shared" si="17"/>
        <v>0</v>
      </c>
      <c r="P73" s="68">
        <f>IF(P72="post bal.",P70,0)</f>
        <v>0</v>
      </c>
      <c r="Q73" s="68">
        <f>IF(Q72="post bal.",Q70,0)</f>
        <v>0</v>
      </c>
      <c r="R73" s="68">
        <f>IF(R72="post bal.",R70,0)</f>
        <v>0</v>
      </c>
      <c r="U73" s="144"/>
      <c r="V73" s="144"/>
      <c r="AA73" s="1"/>
      <c r="AB73" s="68" t="s">
        <v>67</v>
      </c>
      <c r="AC73" s="68" t="s">
        <v>67</v>
      </c>
    </row>
    <row r="74" spans="1:29" ht="7.5" hidden="1" thickTop="1">
      <c r="U74" s="144"/>
      <c r="V74" s="144"/>
      <c r="AA74" s="43"/>
    </row>
    <row r="75" spans="1:29" s="43" customFormat="1">
      <c r="U75" s="144"/>
      <c r="V75" s="144"/>
    </row>
    <row r="76" spans="1:29" s="43" customFormat="1">
      <c r="U76" s="144"/>
      <c r="V76" s="144"/>
    </row>
    <row r="77" spans="1:29" s="43" customFormat="1"/>
    <row r="78" spans="1:29" s="43" customFormat="1"/>
    <row r="79" spans="1:29" s="43" customFormat="1"/>
    <row r="80" spans="1:29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pans="27:27" s="43" customFormat="1"/>
    <row r="98" spans="27:27" s="43" customFormat="1"/>
    <row r="99" spans="27:27" s="43" customFormat="1"/>
    <row r="100" spans="27:27" s="43" customFormat="1"/>
    <row r="101" spans="27:27" s="43" customFormat="1"/>
    <row r="102" spans="27:27" s="43" customFormat="1"/>
    <row r="103" spans="27:27" s="43" customFormat="1"/>
    <row r="104" spans="27:27" s="43" customFormat="1"/>
    <row r="105" spans="27:27" s="43" customFormat="1"/>
    <row r="106" spans="27:27" s="43" customFormat="1"/>
    <row r="107" spans="27:27" s="43" customFormat="1"/>
    <row r="108" spans="27:27" s="43" customFormat="1"/>
    <row r="109" spans="27:27" s="43" customFormat="1">
      <c r="AA109" s="1"/>
    </row>
    <row r="110" spans="27:27" s="43" customFormat="1">
      <c r="AA110" s="1"/>
    </row>
    <row r="111" spans="27:27" s="43" customFormat="1">
      <c r="AA111" s="1"/>
    </row>
    <row r="112" spans="27:27">
      <c r="AA112" s="138"/>
    </row>
    <row r="113" spans="5:27">
      <c r="AA113" s="43"/>
    </row>
    <row r="114" spans="5:27"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AA114" s="43"/>
    </row>
    <row r="115" spans="5:27"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AA115" s="43"/>
    </row>
    <row r="116" spans="5:27" s="43" customFormat="1"/>
    <row r="117" spans="5:27" s="43" customFormat="1"/>
    <row r="118" spans="5:27" s="43" customFormat="1"/>
    <row r="119" spans="5:27" s="43" customFormat="1"/>
    <row r="120" spans="5:27" s="43" customFormat="1"/>
    <row r="121" spans="5:27" s="43" customFormat="1"/>
    <row r="122" spans="5:27" s="43" customFormat="1"/>
    <row r="123" spans="5:27" s="43" customFormat="1"/>
    <row r="124" spans="5:27" s="43" customFormat="1"/>
    <row r="125" spans="5:27" s="43" customFormat="1"/>
    <row r="126" spans="5:27" s="43" customFormat="1"/>
    <row r="127" spans="5:27" s="43" customFormat="1"/>
    <row r="128" spans="5:27" s="43" customFormat="1"/>
    <row r="129" spans="27:27" s="43" customFormat="1"/>
    <row r="130" spans="27:27" s="43" customFormat="1"/>
    <row r="131" spans="27:27" s="43" customFormat="1"/>
    <row r="132" spans="27:27" s="43" customFormat="1"/>
    <row r="133" spans="27:27" s="43" customFormat="1"/>
    <row r="134" spans="27:27" s="43" customFormat="1"/>
    <row r="135" spans="27:27" s="43" customFormat="1"/>
    <row r="136" spans="27:27" s="43" customFormat="1"/>
    <row r="137" spans="27:27" s="43" customFormat="1"/>
    <row r="138" spans="27:27" s="43" customFormat="1"/>
    <row r="139" spans="27:27" s="43" customFormat="1"/>
    <row r="140" spans="27:27" s="43" customFormat="1"/>
    <row r="141" spans="27:27" s="43" customFormat="1">
      <c r="AA141" s="1"/>
    </row>
    <row r="142" spans="27:27" s="43" customFormat="1">
      <c r="AA142" s="1"/>
    </row>
    <row r="143" spans="27:27" s="43" customFormat="1">
      <c r="AA143" s="1"/>
    </row>
    <row r="145" spans="6:27">
      <c r="AA145" s="43"/>
    </row>
    <row r="146" spans="6:27">
      <c r="AA146" s="43"/>
    </row>
    <row r="147" spans="6:27"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AA147" s="43"/>
    </row>
    <row r="148" spans="6:27" s="43" customFormat="1"/>
    <row r="149" spans="6:27" s="43" customFormat="1"/>
    <row r="150" spans="6:27" s="43" customFormat="1"/>
    <row r="151" spans="6:27" s="43" customFormat="1"/>
    <row r="152" spans="6:27" s="43" customFormat="1"/>
    <row r="153" spans="6:27" s="43" customFormat="1"/>
    <row r="154" spans="6:27" s="43" customFormat="1"/>
    <row r="155" spans="6:27" s="43" customFormat="1"/>
    <row r="156" spans="6:27" s="43" customFormat="1"/>
    <row r="157" spans="6:27" s="43" customFormat="1"/>
    <row r="158" spans="6:27" s="43" customFormat="1">
      <c r="AA158" s="1"/>
    </row>
    <row r="159" spans="6:27" s="43" customFormat="1">
      <c r="AA159" s="1"/>
    </row>
    <row r="160" spans="6:27" s="43" customFormat="1">
      <c r="AA160" s="1"/>
    </row>
  </sheetData>
  <phoneticPr fontId="9" type="noConversion"/>
  <pageMargins left="0.35433070866141736" right="0.35433070866141736" top="0.27559055118110237" bottom="0.27559055118110237" header="0" footer="0.27559055118110237"/>
  <pageSetup paperSize="9" scale="110" orientation="portrait" horizontalDpi="720" verticalDpi="720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T91"/>
  <sheetViews>
    <sheetView showZeros="0" zoomScale="150" zoomScaleNormal="150" workbookViewId="0">
      <pane xSplit="2" ySplit="4" topLeftCell="H29" activePane="bottomRight" state="frozen"/>
      <selection activeCell="R6" sqref="R6"/>
      <selection pane="topRight" activeCell="R6" sqref="R6"/>
      <selection pane="bottomLeft" activeCell="R6" sqref="R6"/>
      <selection pane="bottomRight" activeCell="BM1" sqref="BM1:BP1048576"/>
    </sheetView>
  </sheetViews>
  <sheetFormatPr defaultRowHeight="7"/>
  <cols>
    <col min="1" max="1" width="3.33203125" style="109" customWidth="1"/>
    <col min="2" max="2" width="61.6640625" style="109" customWidth="1"/>
    <col min="3" max="7" width="11" hidden="1" customWidth="1"/>
    <col min="8" max="9" width="11" customWidth="1"/>
    <col min="10" max="10" width="11" hidden="1" customWidth="1"/>
    <col min="11" max="13" width="11" customWidth="1"/>
    <col min="14" max="14" width="11" hidden="1" customWidth="1"/>
    <col min="15" max="16" width="11" customWidth="1"/>
    <col min="17" max="17" width="11" hidden="1" customWidth="1"/>
    <col min="18" max="19" width="11" customWidth="1"/>
    <col min="20" max="39" width="11" hidden="1" customWidth="1"/>
    <col min="40" max="40" width="11" customWidth="1"/>
    <col min="41" max="50" width="11" hidden="1" customWidth="1"/>
    <col min="51" max="51" width="11" customWidth="1"/>
    <col min="52" max="54" width="11" hidden="1" customWidth="1"/>
    <col min="55" max="55" width="11" customWidth="1"/>
    <col min="56" max="68" width="11" hidden="1" customWidth="1"/>
    <col min="69" max="69" width="0.6640625" customWidth="1"/>
    <col min="70" max="70" width="26" customWidth="1"/>
    <col min="71" max="71" width="9.6640625" customWidth="1"/>
  </cols>
  <sheetData>
    <row r="1" spans="1:72" s="1" customFormat="1" ht="32.5">
      <c r="A1"/>
      <c r="B1" s="671" t="str">
        <f>Summary!$A$2</f>
        <v>OLYMPIC 2024 FINAL ACCOUNTS</v>
      </c>
      <c r="BQ1" s="210" t="str">
        <f>Summary!$T$2</f>
        <v>25 January 2025</v>
      </c>
    </row>
    <row r="2" spans="1:72" s="1" customFormat="1" ht="35.5" thickBot="1">
      <c r="A2"/>
      <c r="B2" s="189" t="s">
        <v>93</v>
      </c>
      <c r="S2" s="190"/>
    </row>
    <row r="3" spans="1:72" ht="11.5" thickTop="1" thickBot="1">
      <c r="A3"/>
      <c r="B3" s="285" t="s">
        <v>47</v>
      </c>
      <c r="C3" s="242" t="str">
        <f>TRIP_ACCOUNTS!B$5</f>
        <v>Insurance</v>
      </c>
      <c r="D3" s="13" t="str">
        <f>TRIP_ACCOUNTS!C$5</f>
        <v>Licence</v>
      </c>
      <c r="E3" s="13" t="str">
        <f>TRIP_ACCOUNTS!D$5</f>
        <v>Mooring</v>
      </c>
      <c r="F3" s="13" t="str">
        <f>TRIP_ACCOUNTS!E$5</f>
        <v>RCR</v>
      </c>
      <c r="G3" s="13" t="str">
        <f>TRIP_ACCOUNTS!F$5</f>
        <v>DRK</v>
      </c>
      <c r="H3" s="13" t="str">
        <f>TRIP_ACCOUNTS!G$5</f>
        <v>DRK</v>
      </c>
      <c r="I3" s="13" t="str">
        <f>TRIP_ACCOUNTS!H$5</f>
        <v>DRK</v>
      </c>
      <c r="J3" s="13" t="str">
        <f>TRIP_ACCOUNTS!I$5</f>
        <v>DRK</v>
      </c>
      <c r="K3" s="13" t="str">
        <f>TRIP_ACCOUNTS!J$5</f>
        <v>Atlass</v>
      </c>
      <c r="L3" s="13" t="str">
        <f>TRIP_ACCOUNTS!K$5</f>
        <v>DRK</v>
      </c>
      <c r="M3" s="13" t="str">
        <f>TRIP_ACCOUNTS!L$5</f>
        <v>SB</v>
      </c>
      <c r="N3" s="13" t="str">
        <f>TRIP_ACCOUNTS!M$5</f>
        <v>James</v>
      </c>
      <c r="O3" s="13" t="str">
        <f>TRIP_ACCOUNTS!N$5</f>
        <v>PB</v>
      </c>
      <c r="P3" s="13" t="str">
        <f>TRIP_ACCOUNTS!O$5</f>
        <v>Atlass</v>
      </c>
      <c r="Q3" s="13" t="str">
        <f>TRIP_ACCOUNTS!P$5</f>
        <v>RCR</v>
      </c>
      <c r="R3" s="13" t="str">
        <f>TRIP_ACCOUNTS!Q$5</f>
        <v>DRK</v>
      </c>
      <c r="S3" s="13" t="str">
        <f>TRIP_ACCOUNTS!R$5</f>
        <v>DRK</v>
      </c>
      <c r="T3" s="13" t="str">
        <f>TRIP_ACCOUNTS!S$5</f>
        <v>Atlass</v>
      </c>
      <c r="U3" s="13" t="str">
        <f>TRIP_ACCOUNTS!B42</f>
        <v>Martins</v>
      </c>
      <c r="V3" s="13" t="str">
        <f>TRIP_ACCOUNTS!C42</f>
        <v>unscheduled</v>
      </c>
      <c r="W3" s="13" t="str">
        <f>TRIP_ACCOUNTS!D42</f>
        <v>unscheduled</v>
      </c>
      <c r="X3" s="13" t="str">
        <f>TRIP_ACCOUNTS!E42</f>
        <v>James</v>
      </c>
      <c r="Y3" s="13" t="str">
        <f>TRIP_ACCOUNTS!F42</f>
        <v>unscheduled</v>
      </c>
      <c r="Z3" s="13" t="str">
        <f>TRIP_ACCOUNTS!G42</f>
        <v>unscheduled</v>
      </c>
      <c r="AA3" s="13" t="str">
        <f>TRIP_ACCOUNTS!H42</f>
        <v>unscheduled</v>
      </c>
      <c r="AB3" s="13" t="str">
        <f>TRIP_ACCOUNTS!I42</f>
        <v>unscheduled</v>
      </c>
      <c r="AC3" s="13" t="str">
        <f>TRIP_ACCOUNTS!J42</f>
        <v>unscheduled</v>
      </c>
      <c r="AD3" s="13" t="str">
        <f>TRIP_ACCOUNTS!K42</f>
        <v>unscheduled</v>
      </c>
      <c r="AE3" s="13" t="str">
        <f>TRIP_ACCOUNTS!L42</f>
        <v>unscheduled</v>
      </c>
      <c r="AF3" s="13" t="str">
        <f>TRIP_ACCOUNTS!M42</f>
        <v>unscheduled</v>
      </c>
      <c r="AG3" s="13" t="str">
        <f>TRIP_ACCOUNTS!N42</f>
        <v>Brough</v>
      </c>
      <c r="AH3" s="13" t="str">
        <f>TRIP_ACCOUNTS!O42</f>
        <v>unscheduled</v>
      </c>
      <c r="AI3" s="13" t="str">
        <f>TRIP_ACCOUNTS!P42</f>
        <v>unscheduled</v>
      </c>
      <c r="AJ3" s="13" t="str">
        <f>TRIP_ACCOUNTS!Q42</f>
        <v>unscheduled</v>
      </c>
      <c r="AK3" s="13" t="str">
        <f>TRIP_ACCOUNTS!R42</f>
        <v>unscheduled</v>
      </c>
      <c r="AL3" s="13" t="str">
        <f>TRIP_ACCOUNTS!S42</f>
        <v>unscheduled</v>
      </c>
      <c r="AM3" s="625" t="str">
        <f>TRIP_ACCOUNTS!B79</f>
        <v>unscheduled</v>
      </c>
      <c r="AN3" s="13" t="str">
        <f>TRIP_ACCOUNTS!C79</f>
        <v>James</v>
      </c>
      <c r="AO3" s="13" t="str">
        <f>TRIP_ACCOUNTS!D79</f>
        <v>Martins</v>
      </c>
      <c r="AP3" s="13" t="str">
        <f>TRIP_ACCOUNTS!E79</f>
        <v>Atlass</v>
      </c>
      <c r="AQ3" s="13" t="str">
        <f>TRIP_ACCOUNTS!F79</f>
        <v>unscheduled</v>
      </c>
      <c r="AR3" s="13" t="str">
        <f>TRIP_ACCOUNTS!G79</f>
        <v>unscheduled</v>
      </c>
      <c r="AS3" s="13" t="str">
        <f>TRIP_ACCOUNTS!H79</f>
        <v>unscheduled</v>
      </c>
      <c r="AT3" s="13" t="str">
        <f>TRIP_ACCOUNTS!I79</f>
        <v>DB</v>
      </c>
      <c r="AU3" s="13" t="str">
        <f>TRIP_ACCOUNTS!J79</f>
        <v>unscheduled</v>
      </c>
      <c r="AV3" s="13" t="str">
        <f>TRIP_ACCOUNTS!K79</f>
        <v>unscheduled</v>
      </c>
      <c r="AW3" s="13" t="str">
        <f>TRIP_ACCOUNTS!L79</f>
        <v>PB</v>
      </c>
      <c r="AX3" s="13" t="str">
        <f>TRIP_ACCOUNTS!M79</f>
        <v>unscheduled</v>
      </c>
      <c r="AY3" s="13" t="str">
        <f>TRIP_ACCOUNTS!N79</f>
        <v>DRK</v>
      </c>
      <c r="AZ3" s="13" t="str">
        <f>TRIP_ACCOUNTS!O79</f>
        <v>Licence</v>
      </c>
      <c r="BA3" s="13" t="str">
        <f>TRIP_ACCOUNTS!P79</f>
        <v>DRK-8</v>
      </c>
      <c r="BB3" s="13" t="str">
        <f>TRIP_ACCOUNTS!Q79</f>
        <v>PB</v>
      </c>
      <c r="BC3" s="13" t="str">
        <f>TRIP_ACCOUNTS!R79</f>
        <v>DRK-9</v>
      </c>
      <c r="BD3" s="13" t="str">
        <f>TRIP_ACCOUNTS!S79</f>
        <v>unscheduled</v>
      </c>
      <c r="BE3" s="13" t="str">
        <f>TRIP_ACCOUNTS!B116</f>
        <v>unscheduled</v>
      </c>
      <c r="BF3" s="13" t="str">
        <f>TRIP_ACCOUNTS!C116</f>
        <v>unscheduled</v>
      </c>
      <c r="BG3" s="13" t="str">
        <f>TRIP_ACCOUNTS!D116</f>
        <v>unscheduled</v>
      </c>
      <c r="BH3" s="13" t="str">
        <f>TRIP_ACCOUNTS!E116</f>
        <v>unscheduled</v>
      </c>
      <c r="BI3" s="18">
        <f>TRIP_ACCOUNTS!F116</f>
        <v>0</v>
      </c>
      <c r="BJ3" s="18">
        <f>TRIP_ACCOUNTS!G$116</f>
        <v>0</v>
      </c>
      <c r="BK3" s="18">
        <f>TRIP_ACCOUNTS!H$115</f>
        <v>0</v>
      </c>
      <c r="BL3" s="18">
        <f>TRIP_ACCOUNTS!I$115</f>
        <v>0</v>
      </c>
      <c r="BM3" s="18">
        <f>TRIP_ACCOUNTS!J$115</f>
        <v>0</v>
      </c>
      <c r="BN3" s="18">
        <f>TRIP_ACCOUNTS!L$115</f>
        <v>0</v>
      </c>
      <c r="BO3" s="18">
        <f>TRIP_ACCOUNTS!M$115</f>
        <v>0</v>
      </c>
      <c r="BP3" s="18">
        <f>TRIP_ACCOUNTS!N$115</f>
        <v>0</v>
      </c>
      <c r="BQ3" s="59"/>
      <c r="BR3" s="14"/>
      <c r="BS3" s="14"/>
      <c r="BT3" s="14"/>
    </row>
    <row r="4" spans="1:72" ht="8" thickTop="1" thickBot="1">
      <c r="A4"/>
      <c r="B4" s="286"/>
      <c r="C4" s="243">
        <f>TRIP_ACCOUNTS!B$6</f>
        <v>45341</v>
      </c>
      <c r="D4" s="153">
        <f>TRIP_ACCOUNTS!C$6</f>
        <v>45599</v>
      </c>
      <c r="E4" s="153">
        <f>TRIP_ACCOUNTS!D$6</f>
        <v>45606</v>
      </c>
      <c r="F4" s="153">
        <f>TRIP_ACCOUNTS!E$6</f>
        <v>45490</v>
      </c>
      <c r="G4" s="153">
        <f>TRIP_ACCOUNTS!F$6</f>
        <v>45323</v>
      </c>
      <c r="H4" s="153">
        <f>TRIP_ACCOUNTS!G$6</f>
        <v>45372</v>
      </c>
      <c r="I4" s="153">
        <f>TRIP_ACCOUNTS!H$6</f>
        <v>45396</v>
      </c>
      <c r="J4" s="153">
        <f>TRIP_ACCOUNTS!I$6</f>
        <v>44805</v>
      </c>
      <c r="K4" s="153">
        <f>TRIP_ACCOUNTS!J$6</f>
        <v>45401</v>
      </c>
      <c r="L4" s="153">
        <f>TRIP_ACCOUNTS!K$6</f>
        <v>45425</v>
      </c>
      <c r="M4" s="153">
        <f>TRIP_ACCOUNTS!L$6</f>
        <v>45407</v>
      </c>
      <c r="N4" s="153">
        <f>TRIP_ACCOUNTS!M$6</f>
        <v>45556</v>
      </c>
      <c r="O4" s="153" t="str">
        <f>TRIP_ACCOUNTS!N$6</f>
        <v>25-09.24</v>
      </c>
      <c r="P4" s="153">
        <f>TRIP_ACCOUNTS!O$6</f>
        <v>45498</v>
      </c>
      <c r="Q4" s="153">
        <f>TRIP_ACCOUNTS!P$6</f>
        <v>45582</v>
      </c>
      <c r="R4" s="153">
        <f>TRIP_ACCOUNTS!Q$6</f>
        <v>45612</v>
      </c>
      <c r="S4" s="153">
        <f>TRIP_ACCOUNTS!R$6</f>
        <v>45612</v>
      </c>
      <c r="T4" s="153">
        <f>TRIP_ACCOUNTS!S$6</f>
        <v>45590</v>
      </c>
      <c r="U4" s="153">
        <f>TRIP_ACCOUNTS!B43</f>
        <v>45414</v>
      </c>
      <c r="V4" s="153">
        <f>TRIP_ACCOUNTS!C43</f>
        <v>45421</v>
      </c>
      <c r="W4" s="153">
        <f>TRIP_ACCOUNTS!D43</f>
        <v>45428</v>
      </c>
      <c r="X4" s="153">
        <f>TRIP_ACCOUNTS!E43</f>
        <v>45435</v>
      </c>
      <c r="Y4" s="153">
        <f>TRIP_ACCOUNTS!F43</f>
        <v>45442</v>
      </c>
      <c r="Z4" s="153">
        <f>TRIP_ACCOUNTS!G43</f>
        <v>45449</v>
      </c>
      <c r="AA4" s="153">
        <f>TRIP_ACCOUNTS!H43</f>
        <v>45456</v>
      </c>
      <c r="AB4" s="153">
        <f>TRIP_ACCOUNTS!I43</f>
        <v>45463</v>
      </c>
      <c r="AC4" s="153">
        <f>TRIP_ACCOUNTS!J43</f>
        <v>45470</v>
      </c>
      <c r="AD4" s="153">
        <f>TRIP_ACCOUNTS!K43</f>
        <v>45477</v>
      </c>
      <c r="AE4" s="153">
        <f>TRIP_ACCOUNTS!L43</f>
        <v>45484</v>
      </c>
      <c r="AF4" s="153">
        <f>TRIP_ACCOUNTS!M43</f>
        <v>45491</v>
      </c>
      <c r="AG4" s="153">
        <f>TRIP_ACCOUNTS!N43</f>
        <v>45498</v>
      </c>
      <c r="AH4" s="153">
        <f>TRIP_ACCOUNTS!O43</f>
        <v>45505</v>
      </c>
      <c r="AI4" s="153">
        <f>TRIP_ACCOUNTS!P43</f>
        <v>45512</v>
      </c>
      <c r="AJ4" s="153">
        <f>TRIP_ACCOUNTS!Q43</f>
        <v>45519</v>
      </c>
      <c r="AK4" s="153">
        <f>TRIP_ACCOUNTS!R43</f>
        <v>45526</v>
      </c>
      <c r="AL4" s="153">
        <f>TRIP_ACCOUNTS!S43</f>
        <v>45533</v>
      </c>
      <c r="AM4" s="153">
        <f>TRIP_ACCOUNTS!B80</f>
        <v>45540</v>
      </c>
      <c r="AN4" s="153">
        <f>TRIP_ACCOUNTS!C80</f>
        <v>45547</v>
      </c>
      <c r="AO4" s="153">
        <f>TRIP_ACCOUNTS!D80</f>
        <v>45554</v>
      </c>
      <c r="AP4" s="153">
        <f>TRIP_ACCOUNTS!E80</f>
        <v>45561</v>
      </c>
      <c r="AQ4" s="153">
        <f>TRIP_ACCOUNTS!F80</f>
        <v>45568</v>
      </c>
      <c r="AR4" s="153">
        <f>TRIP_ACCOUNTS!G80</f>
        <v>45575</v>
      </c>
      <c r="AS4" s="153">
        <f>TRIP_ACCOUNTS!H80</f>
        <v>45582</v>
      </c>
      <c r="AT4" s="153">
        <f>TRIP_ACCOUNTS!I80</f>
        <v>45589</v>
      </c>
      <c r="AU4" s="153">
        <f>TRIP_ACCOUNTS!J80</f>
        <v>45596</v>
      </c>
      <c r="AV4" s="153">
        <f>TRIP_ACCOUNTS!K80</f>
        <v>45603</v>
      </c>
      <c r="AW4" s="153">
        <f>TRIP_ACCOUNTS!L80</f>
        <v>45610</v>
      </c>
      <c r="AX4" s="153">
        <f>TRIP_ACCOUNTS!M80</f>
        <v>45617</v>
      </c>
      <c r="AY4" s="153">
        <f>TRIP_ACCOUNTS!N80</f>
        <v>45624</v>
      </c>
      <c r="AZ4" s="153">
        <f>TRIP_ACCOUNTS!O80</f>
        <v>45631</v>
      </c>
      <c r="BA4" s="153">
        <f>TRIP_ACCOUNTS!P80</f>
        <v>45638</v>
      </c>
      <c r="BB4" s="153">
        <f>TRIP_ACCOUNTS!Q80</f>
        <v>45674</v>
      </c>
      <c r="BC4" s="153">
        <f>TRIP_ACCOUNTS!R80</f>
        <v>45681</v>
      </c>
      <c r="BD4" s="153">
        <f>TRIP_ACCOUNTS!S80</f>
        <v>45688</v>
      </c>
      <c r="BE4" s="153">
        <f>TRIP_ACCOUNTS!B117</f>
        <v>45695</v>
      </c>
      <c r="BF4" s="153">
        <f>TRIP_ACCOUNTS!C117</f>
        <v>45702</v>
      </c>
      <c r="BG4" s="153">
        <f>TRIP_ACCOUNTS!D117</f>
        <v>45709</v>
      </c>
      <c r="BH4" s="153">
        <f>TRIP_ACCOUNTS!E117</f>
        <v>45716</v>
      </c>
      <c r="BI4" s="152">
        <f>TRIP_ACCOUNTS!F117</f>
        <v>0</v>
      </c>
      <c r="BJ4" s="152">
        <f>TRIP_ACCOUNTS!G$117</f>
        <v>0</v>
      </c>
      <c r="BK4" s="152">
        <f>TRIP_ACCOUNTS!H$116</f>
        <v>0</v>
      </c>
      <c r="BL4" s="152">
        <f>TRIP_ACCOUNTS!I$116</f>
        <v>0</v>
      </c>
      <c r="BM4" s="152">
        <f>TRIP_ACCOUNTS!J$116</f>
        <v>0</v>
      </c>
      <c r="BN4" s="152">
        <f>TRIP_ACCOUNTS!K$116</f>
        <v>0</v>
      </c>
      <c r="BO4" s="152">
        <f>TRIP_ACCOUNTS!M$116</f>
        <v>0</v>
      </c>
      <c r="BP4" s="152">
        <f>TRIP_ACCOUNTS!N$116</f>
        <v>0</v>
      </c>
      <c r="BQ4" s="154"/>
      <c r="BR4" s="14"/>
      <c r="BS4" s="14"/>
      <c r="BT4" s="155" t="s">
        <v>71</v>
      </c>
    </row>
    <row r="5" spans="1:72" s="250" customFormat="1" ht="7.5" thickTop="1">
      <c r="A5" s="433">
        <v>7</v>
      </c>
      <c r="B5" s="693" t="s">
        <v>185</v>
      </c>
      <c r="C5" s="374"/>
      <c r="D5" s="375"/>
      <c r="E5" s="375"/>
      <c r="F5" s="375"/>
      <c r="G5" s="375"/>
      <c r="H5" s="375"/>
      <c r="I5" s="375"/>
      <c r="J5" s="375"/>
      <c r="K5" s="375"/>
      <c r="L5" s="375"/>
      <c r="M5" s="375">
        <v>60.04</v>
      </c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75"/>
      <c r="AH5" s="375"/>
      <c r="AI5" s="375"/>
      <c r="AJ5" s="375"/>
      <c r="AK5" s="375"/>
      <c r="AL5" s="375"/>
      <c r="AM5" s="375"/>
      <c r="AN5" s="375"/>
      <c r="AO5" s="375"/>
      <c r="AP5" s="375"/>
      <c r="AQ5" s="375"/>
      <c r="AR5" s="375"/>
      <c r="AS5" s="375"/>
      <c r="AT5" s="375"/>
      <c r="AU5" s="375"/>
      <c r="AV5" s="375"/>
      <c r="AW5" s="375"/>
      <c r="AX5" s="375"/>
      <c r="AY5" s="375"/>
      <c r="AZ5" s="375"/>
      <c r="BA5" s="375"/>
      <c r="BB5" s="375"/>
      <c r="BC5" s="375"/>
      <c r="BD5" s="375"/>
      <c r="BE5" s="375"/>
      <c r="BF5" s="375"/>
      <c r="BG5" s="375"/>
      <c r="BH5" s="375"/>
      <c r="BI5" s="375"/>
      <c r="BJ5" s="314"/>
      <c r="BK5" s="314"/>
      <c r="BL5" s="314"/>
      <c r="BM5" s="314"/>
      <c r="BN5" s="314"/>
      <c r="BO5" s="314"/>
      <c r="BP5" s="314"/>
      <c r="BQ5" s="315"/>
      <c r="BR5" s="27"/>
      <c r="BS5" s="27"/>
      <c r="BT5" s="32">
        <f t="shared" ref="BT5:BT25" si="0">SUM(D5:BP5)</f>
        <v>60.04</v>
      </c>
    </row>
    <row r="6" spans="1:72" s="250" customFormat="1">
      <c r="A6" s="432">
        <v>12</v>
      </c>
      <c r="B6" s="486" t="s">
        <v>186</v>
      </c>
      <c r="C6" s="376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>
        <v>7.07</v>
      </c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  <c r="AH6" s="377"/>
      <c r="AI6" s="377"/>
      <c r="AJ6" s="377"/>
      <c r="AK6" s="377"/>
      <c r="AL6" s="377"/>
      <c r="AM6" s="377"/>
      <c r="AN6" s="377"/>
      <c r="AO6" s="377"/>
      <c r="AP6" s="377"/>
      <c r="AQ6" s="377"/>
      <c r="AR6" s="377"/>
      <c r="AS6" s="377"/>
      <c r="AT6" s="377"/>
      <c r="AU6" s="377"/>
      <c r="AV6" s="377"/>
      <c r="AW6" s="377"/>
      <c r="AX6" s="377"/>
      <c r="AY6" s="377"/>
      <c r="AZ6" s="377"/>
      <c r="BA6" s="377"/>
      <c r="BB6" s="377"/>
      <c r="BC6" s="377"/>
      <c r="BD6" s="377"/>
      <c r="BE6" s="377"/>
      <c r="BF6" s="377"/>
      <c r="BG6" s="377"/>
      <c r="BH6" s="377"/>
      <c r="BI6" s="377"/>
      <c r="BJ6" s="316"/>
      <c r="BK6" s="316"/>
      <c r="BL6" s="316"/>
      <c r="BM6" s="316"/>
      <c r="BN6" s="316"/>
      <c r="BO6" s="316"/>
      <c r="BP6" s="316"/>
      <c r="BQ6" s="317"/>
      <c r="BR6" s="27"/>
      <c r="BS6" s="27"/>
      <c r="BT6" s="32">
        <f t="shared" si="0"/>
        <v>7.07</v>
      </c>
    </row>
    <row r="7" spans="1:72" s="250" customFormat="1">
      <c r="A7" s="431">
        <v>13</v>
      </c>
      <c r="B7" s="486" t="s">
        <v>187</v>
      </c>
      <c r="C7" s="376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16"/>
      <c r="BK7" s="316"/>
      <c r="BL7" s="316"/>
      <c r="BM7" s="316"/>
      <c r="BN7" s="316"/>
      <c r="BO7" s="316"/>
      <c r="BP7" s="316"/>
      <c r="BQ7" s="317"/>
      <c r="BR7" s="27"/>
      <c r="BS7" s="27"/>
      <c r="BT7" s="32">
        <f>SUM(D7:BP7)</f>
        <v>0</v>
      </c>
    </row>
    <row r="8" spans="1:72" s="250" customFormat="1">
      <c r="A8" s="431">
        <v>26</v>
      </c>
      <c r="B8" s="486" t="s">
        <v>228</v>
      </c>
      <c r="C8" s="376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377"/>
      <c r="Y8" s="377"/>
      <c r="Z8" s="377"/>
      <c r="AA8" s="377"/>
      <c r="AB8" s="377"/>
      <c r="AC8" s="377"/>
      <c r="AD8" s="377"/>
      <c r="AE8" s="377"/>
      <c r="AF8" s="377"/>
      <c r="AG8" s="377"/>
      <c r="AH8" s="377"/>
      <c r="AI8" s="377"/>
      <c r="AJ8" s="377"/>
      <c r="AK8" s="377"/>
      <c r="AL8" s="377"/>
      <c r="AM8" s="377"/>
      <c r="AN8" s="377"/>
      <c r="AO8" s="377"/>
      <c r="AP8" s="377"/>
      <c r="AQ8" s="377"/>
      <c r="AR8" s="377"/>
      <c r="AS8" s="377"/>
      <c r="AT8" s="377"/>
      <c r="AU8" s="377"/>
      <c r="AV8" s="377"/>
      <c r="AW8" s="377"/>
      <c r="AX8" s="377"/>
      <c r="AY8" s="377"/>
      <c r="AZ8" s="377"/>
      <c r="BA8" s="377"/>
      <c r="BB8" s="377"/>
      <c r="BC8" s="377"/>
      <c r="BD8" s="377"/>
      <c r="BE8" s="377"/>
      <c r="BF8" s="377"/>
      <c r="BG8" s="377"/>
      <c r="BH8" s="377"/>
      <c r="BI8" s="377"/>
      <c r="BJ8" s="316"/>
      <c r="BK8" s="316"/>
      <c r="BL8" s="316"/>
      <c r="BM8" s="316"/>
      <c r="BN8" s="316"/>
      <c r="BO8" s="316"/>
      <c r="BP8" s="316"/>
      <c r="BQ8" s="317"/>
      <c r="BR8" s="27"/>
      <c r="BS8" s="27"/>
      <c r="BT8" s="32">
        <f t="shared" si="0"/>
        <v>0</v>
      </c>
    </row>
    <row r="9" spans="1:72" s="250" customFormat="1">
      <c r="A9" s="431">
        <v>28</v>
      </c>
      <c r="B9" s="486" t="s">
        <v>230</v>
      </c>
      <c r="C9" s="376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  <c r="AC9" s="377"/>
      <c r="AD9" s="377"/>
      <c r="AE9" s="377"/>
      <c r="AF9" s="377"/>
      <c r="AG9" s="377"/>
      <c r="AH9" s="377"/>
      <c r="AI9" s="377"/>
      <c r="AJ9" s="377"/>
      <c r="AK9" s="377"/>
      <c r="AL9" s="377"/>
      <c r="AM9" s="377"/>
      <c r="AN9" s="377"/>
      <c r="AO9" s="377"/>
      <c r="AP9" s="377"/>
      <c r="AQ9" s="377"/>
      <c r="AR9" s="377"/>
      <c r="AS9" s="377"/>
      <c r="AT9" s="377"/>
      <c r="AU9" s="377"/>
      <c r="AV9" s="377"/>
      <c r="AW9" s="377"/>
      <c r="AX9" s="377"/>
      <c r="AY9" s="377"/>
      <c r="AZ9" s="377"/>
      <c r="BA9" s="377"/>
      <c r="BB9" s="377"/>
      <c r="BC9" s="377"/>
      <c r="BD9" s="377"/>
      <c r="BE9" s="377"/>
      <c r="BF9" s="377"/>
      <c r="BG9" s="377"/>
      <c r="BH9" s="377"/>
      <c r="BI9" s="377"/>
      <c r="BJ9" s="316"/>
      <c r="BK9" s="316"/>
      <c r="BL9" s="316"/>
      <c r="BM9" s="316"/>
      <c r="BN9" s="316"/>
      <c r="BO9" s="316"/>
      <c r="BP9" s="316"/>
      <c r="BQ9" s="317"/>
      <c r="BR9" s="27"/>
      <c r="BS9" s="27"/>
      <c r="BT9" s="32">
        <f t="shared" si="0"/>
        <v>0</v>
      </c>
    </row>
    <row r="10" spans="1:72" s="250" customFormat="1">
      <c r="A10" s="431">
        <v>29</v>
      </c>
      <c r="B10" s="486" t="s">
        <v>209</v>
      </c>
      <c r="C10" s="376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  <c r="AH10" s="377"/>
      <c r="AI10" s="377"/>
      <c r="AJ10" s="377"/>
      <c r="AK10" s="377"/>
      <c r="AL10" s="377"/>
      <c r="AM10" s="377"/>
      <c r="AN10" s="377"/>
      <c r="AO10" s="377"/>
      <c r="AP10" s="377"/>
      <c r="AQ10" s="377"/>
      <c r="AR10" s="377"/>
      <c r="AS10" s="377"/>
      <c r="AT10" s="377"/>
      <c r="AU10" s="377"/>
      <c r="AV10" s="377"/>
      <c r="AW10" s="377"/>
      <c r="AX10" s="377"/>
      <c r="AY10" s="377"/>
      <c r="AZ10" s="377"/>
      <c r="BA10" s="377"/>
      <c r="BB10" s="377"/>
      <c r="BC10" s="377"/>
      <c r="BD10" s="377"/>
      <c r="BE10" s="377"/>
      <c r="BF10" s="377"/>
      <c r="BG10" s="377"/>
      <c r="BH10" s="377"/>
      <c r="BI10" s="377"/>
      <c r="BJ10" s="316"/>
      <c r="BK10" s="316"/>
      <c r="BL10" s="316"/>
      <c r="BM10" s="316"/>
      <c r="BN10" s="316"/>
      <c r="BO10" s="316"/>
      <c r="BP10" s="316"/>
      <c r="BQ10" s="317"/>
      <c r="BR10" s="27"/>
      <c r="BS10" s="27"/>
      <c r="BT10" s="32">
        <f t="shared" si="0"/>
        <v>0</v>
      </c>
    </row>
    <row r="11" spans="1:72" s="250" customFormat="1">
      <c r="A11" s="431">
        <v>30</v>
      </c>
      <c r="B11" s="486" t="s">
        <v>201</v>
      </c>
      <c r="C11" s="376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7"/>
      <c r="Y11" s="377"/>
      <c r="Z11" s="377"/>
      <c r="AA11" s="377"/>
      <c r="AB11" s="377"/>
      <c r="AC11" s="377"/>
      <c r="AD11" s="377"/>
      <c r="AE11" s="377"/>
      <c r="AF11" s="377"/>
      <c r="AG11" s="377"/>
      <c r="AH11" s="377"/>
      <c r="AI11" s="377"/>
      <c r="AJ11" s="377"/>
      <c r="AK11" s="377"/>
      <c r="AL11" s="377"/>
      <c r="AM11" s="377"/>
      <c r="AN11" s="377"/>
      <c r="AO11" s="377"/>
      <c r="AP11" s="377"/>
      <c r="AQ11" s="377"/>
      <c r="AR11" s="377"/>
      <c r="AS11" s="377"/>
      <c r="AT11" s="377"/>
      <c r="AU11" s="377"/>
      <c r="AV11" s="377"/>
      <c r="AW11" s="377"/>
      <c r="AX11" s="377"/>
      <c r="AY11" s="377"/>
      <c r="AZ11" s="377"/>
      <c r="BA11" s="377"/>
      <c r="BB11" s="377"/>
      <c r="BC11" s="377"/>
      <c r="BD11" s="377"/>
      <c r="BE11" s="377"/>
      <c r="BF11" s="377"/>
      <c r="BG11" s="377"/>
      <c r="BH11" s="377"/>
      <c r="BI11" s="377"/>
      <c r="BJ11" s="316"/>
      <c r="BK11" s="316"/>
      <c r="BL11" s="316"/>
      <c r="BM11" s="316"/>
      <c r="BN11" s="316"/>
      <c r="BO11" s="316"/>
      <c r="BP11" s="316"/>
      <c r="BQ11" s="317"/>
      <c r="BR11" s="27"/>
      <c r="BS11" s="27"/>
      <c r="BT11" s="32">
        <f t="shared" si="0"/>
        <v>0</v>
      </c>
    </row>
    <row r="12" spans="1:72" s="250" customFormat="1">
      <c r="A12" s="431">
        <v>31</v>
      </c>
      <c r="B12" s="486" t="s">
        <v>210</v>
      </c>
      <c r="C12" s="376"/>
      <c r="D12" s="377"/>
      <c r="E12" s="377"/>
      <c r="F12" s="377"/>
      <c r="G12" s="377"/>
      <c r="H12" s="377"/>
      <c r="I12" s="377"/>
      <c r="J12" s="377"/>
      <c r="K12" s="377"/>
      <c r="L12" s="377"/>
      <c r="M12" s="377">
        <v>2</v>
      </c>
      <c r="N12" s="377"/>
      <c r="O12" s="377"/>
      <c r="P12" s="377"/>
      <c r="Q12" s="377"/>
      <c r="R12" s="377"/>
      <c r="S12" s="377"/>
      <c r="T12" s="377"/>
      <c r="U12" s="377"/>
      <c r="V12" s="377"/>
      <c r="W12" s="377"/>
      <c r="X12" s="377"/>
      <c r="Y12" s="377"/>
      <c r="Z12" s="377"/>
      <c r="AA12" s="377"/>
      <c r="AB12" s="377"/>
      <c r="AC12" s="377"/>
      <c r="AD12" s="377"/>
      <c r="AE12" s="377"/>
      <c r="AF12" s="377"/>
      <c r="AG12" s="377"/>
      <c r="AH12" s="377"/>
      <c r="AI12" s="377"/>
      <c r="AJ12" s="377"/>
      <c r="AK12" s="377"/>
      <c r="AL12" s="377"/>
      <c r="AM12" s="377"/>
      <c r="AN12" s="377"/>
      <c r="AO12" s="377"/>
      <c r="AP12" s="377"/>
      <c r="AQ12" s="377"/>
      <c r="AR12" s="377"/>
      <c r="AS12" s="377"/>
      <c r="AT12" s="377"/>
      <c r="AU12" s="377"/>
      <c r="AV12" s="377"/>
      <c r="AW12" s="377"/>
      <c r="AX12" s="377"/>
      <c r="AY12" s="377"/>
      <c r="AZ12" s="377"/>
      <c r="BA12" s="377"/>
      <c r="BB12" s="377"/>
      <c r="BC12" s="377"/>
      <c r="BD12" s="377"/>
      <c r="BE12" s="377"/>
      <c r="BF12" s="377"/>
      <c r="BG12" s="377"/>
      <c r="BH12" s="377"/>
      <c r="BI12" s="377"/>
      <c r="BJ12" s="316"/>
      <c r="BK12" s="316"/>
      <c r="BL12" s="316"/>
      <c r="BM12" s="316"/>
      <c r="BN12" s="316"/>
      <c r="BO12" s="316"/>
      <c r="BP12" s="316"/>
      <c r="BQ12" s="317"/>
      <c r="BR12" s="27"/>
      <c r="BS12" s="27"/>
      <c r="BT12" s="32">
        <f t="shared" si="0"/>
        <v>2</v>
      </c>
    </row>
    <row r="13" spans="1:72" s="250" customFormat="1">
      <c r="A13" s="431">
        <v>32</v>
      </c>
      <c r="B13" s="486" t="s">
        <v>203</v>
      </c>
      <c r="C13" s="376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  <c r="P13" s="377"/>
      <c r="Q13" s="377"/>
      <c r="R13" s="377"/>
      <c r="S13" s="377"/>
      <c r="T13" s="377"/>
      <c r="U13" s="377"/>
      <c r="V13" s="377"/>
      <c r="W13" s="377"/>
      <c r="X13" s="377"/>
      <c r="Y13" s="377"/>
      <c r="Z13" s="377"/>
      <c r="AA13" s="377"/>
      <c r="AB13" s="377"/>
      <c r="AC13" s="377"/>
      <c r="AD13" s="377"/>
      <c r="AE13" s="377"/>
      <c r="AF13" s="377"/>
      <c r="AG13" s="377"/>
      <c r="AH13" s="377"/>
      <c r="AI13" s="377"/>
      <c r="AJ13" s="377"/>
      <c r="AK13" s="377"/>
      <c r="AL13" s="377"/>
      <c r="AM13" s="377"/>
      <c r="AN13" s="377"/>
      <c r="AO13" s="377"/>
      <c r="AP13" s="377"/>
      <c r="AQ13" s="377"/>
      <c r="AR13" s="377"/>
      <c r="AS13" s="377"/>
      <c r="AT13" s="377"/>
      <c r="AU13" s="377"/>
      <c r="AV13" s="377"/>
      <c r="AW13" s="377"/>
      <c r="AX13" s="377"/>
      <c r="AY13" s="377"/>
      <c r="AZ13" s="377"/>
      <c r="BA13" s="377"/>
      <c r="BB13" s="377"/>
      <c r="BC13" s="377"/>
      <c r="BD13" s="377"/>
      <c r="BE13" s="377"/>
      <c r="BF13" s="377"/>
      <c r="BG13" s="377"/>
      <c r="BH13" s="377"/>
      <c r="BI13" s="377"/>
      <c r="BJ13" s="316"/>
      <c r="BK13" s="316"/>
      <c r="BL13" s="316"/>
      <c r="BM13" s="316"/>
      <c r="BN13" s="316"/>
      <c r="BO13" s="316"/>
      <c r="BP13" s="316"/>
      <c r="BQ13" s="317"/>
      <c r="BR13" s="27"/>
      <c r="BS13" s="27"/>
      <c r="BT13" s="32">
        <f t="shared" si="0"/>
        <v>0</v>
      </c>
    </row>
    <row r="14" spans="1:72" s="250" customFormat="1">
      <c r="A14" s="431">
        <v>33</v>
      </c>
      <c r="B14" s="486" t="s">
        <v>211</v>
      </c>
      <c r="C14" s="376"/>
      <c r="D14" s="377"/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77"/>
      <c r="S14" s="377"/>
      <c r="T14" s="377"/>
      <c r="U14" s="377"/>
      <c r="V14" s="377"/>
      <c r="W14" s="377"/>
      <c r="X14" s="377"/>
      <c r="Y14" s="377"/>
      <c r="Z14" s="377"/>
      <c r="AA14" s="377"/>
      <c r="AB14" s="377"/>
      <c r="AC14" s="377"/>
      <c r="AD14" s="377"/>
      <c r="AE14" s="377"/>
      <c r="AF14" s="377"/>
      <c r="AG14" s="377"/>
      <c r="AH14" s="377"/>
      <c r="AI14" s="377"/>
      <c r="AJ14" s="377"/>
      <c r="AK14" s="377"/>
      <c r="AL14" s="377"/>
      <c r="AM14" s="377"/>
      <c r="AN14" s="377"/>
      <c r="AO14" s="377"/>
      <c r="AP14" s="377"/>
      <c r="AQ14" s="377"/>
      <c r="AR14" s="377"/>
      <c r="AS14" s="377"/>
      <c r="AT14" s="377"/>
      <c r="AU14" s="377"/>
      <c r="AV14" s="377"/>
      <c r="AW14" s="377"/>
      <c r="AX14" s="377"/>
      <c r="AY14" s="377"/>
      <c r="AZ14" s="377"/>
      <c r="BA14" s="377"/>
      <c r="BB14" s="377"/>
      <c r="BC14" s="377"/>
      <c r="BD14" s="377"/>
      <c r="BE14" s="377"/>
      <c r="BF14" s="377"/>
      <c r="BG14" s="377"/>
      <c r="BH14" s="377"/>
      <c r="BI14" s="377"/>
      <c r="BJ14" s="316"/>
      <c r="BK14" s="316"/>
      <c r="BL14" s="316"/>
      <c r="BM14" s="316"/>
      <c r="BN14" s="316"/>
      <c r="BO14" s="316"/>
      <c r="BP14" s="316"/>
      <c r="BQ14" s="317"/>
      <c r="BR14" s="27"/>
      <c r="BS14" s="27"/>
      <c r="BT14" s="32">
        <f t="shared" si="0"/>
        <v>0</v>
      </c>
    </row>
    <row r="15" spans="1:72" s="250" customFormat="1">
      <c r="A15" s="431">
        <v>34</v>
      </c>
      <c r="B15" s="486" t="s">
        <v>212</v>
      </c>
      <c r="C15" s="376"/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377"/>
      <c r="O15" s="377"/>
      <c r="P15" s="377"/>
      <c r="Q15" s="377"/>
      <c r="R15" s="377"/>
      <c r="S15" s="377"/>
      <c r="T15" s="377"/>
      <c r="U15" s="377"/>
      <c r="V15" s="377"/>
      <c r="W15" s="377"/>
      <c r="X15" s="377"/>
      <c r="Y15" s="377"/>
      <c r="Z15" s="377"/>
      <c r="AA15" s="377"/>
      <c r="AB15" s="377"/>
      <c r="AC15" s="377"/>
      <c r="AD15" s="377"/>
      <c r="AE15" s="377"/>
      <c r="AF15" s="377"/>
      <c r="AG15" s="377"/>
      <c r="AH15" s="377"/>
      <c r="AI15" s="377"/>
      <c r="AJ15" s="377"/>
      <c r="AK15" s="377"/>
      <c r="AL15" s="377"/>
      <c r="AM15" s="377"/>
      <c r="AN15" s="377"/>
      <c r="AO15" s="377"/>
      <c r="AP15" s="377"/>
      <c r="AQ15" s="377"/>
      <c r="AR15" s="377"/>
      <c r="AS15" s="377"/>
      <c r="AT15" s="377"/>
      <c r="AU15" s="377"/>
      <c r="AV15" s="377"/>
      <c r="AW15" s="377"/>
      <c r="AX15" s="377"/>
      <c r="AY15" s="377"/>
      <c r="AZ15" s="377"/>
      <c r="BA15" s="377"/>
      <c r="BB15" s="377"/>
      <c r="BC15" s="377"/>
      <c r="BD15" s="377"/>
      <c r="BE15" s="377"/>
      <c r="BF15" s="377"/>
      <c r="BG15" s="377"/>
      <c r="BH15" s="377"/>
      <c r="BI15" s="377"/>
      <c r="BJ15" s="316"/>
      <c r="BK15" s="316"/>
      <c r="BL15" s="316"/>
      <c r="BM15" s="316"/>
      <c r="BN15" s="316"/>
      <c r="BO15" s="316"/>
      <c r="BP15" s="316"/>
      <c r="BQ15" s="317"/>
      <c r="BR15" s="27"/>
      <c r="BS15" s="27"/>
      <c r="BT15" s="32">
        <f t="shared" si="0"/>
        <v>0</v>
      </c>
    </row>
    <row r="16" spans="1:72" s="250" customFormat="1">
      <c r="A16" s="431">
        <v>35</v>
      </c>
      <c r="B16" s="486" t="s">
        <v>202</v>
      </c>
      <c r="C16" s="376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7"/>
      <c r="Z16" s="377"/>
      <c r="AA16" s="377"/>
      <c r="AB16" s="377"/>
      <c r="AC16" s="377"/>
      <c r="AD16" s="377"/>
      <c r="AE16" s="377"/>
      <c r="AF16" s="377"/>
      <c r="AG16" s="377"/>
      <c r="AH16" s="377"/>
      <c r="AI16" s="377"/>
      <c r="AJ16" s="377"/>
      <c r="AK16" s="377"/>
      <c r="AL16" s="377"/>
      <c r="AM16" s="377"/>
      <c r="AN16" s="377"/>
      <c r="AO16" s="377"/>
      <c r="AP16" s="377"/>
      <c r="AQ16" s="377"/>
      <c r="AR16" s="377"/>
      <c r="AS16" s="377"/>
      <c r="AT16" s="377"/>
      <c r="AU16" s="377"/>
      <c r="AV16" s="377"/>
      <c r="AW16" s="377"/>
      <c r="AX16" s="377"/>
      <c r="AY16" s="377"/>
      <c r="AZ16" s="377"/>
      <c r="BA16" s="377"/>
      <c r="BB16" s="377"/>
      <c r="BC16" s="377"/>
      <c r="BD16" s="377"/>
      <c r="BE16" s="377"/>
      <c r="BF16" s="377"/>
      <c r="BG16" s="377"/>
      <c r="BH16" s="377"/>
      <c r="BI16" s="377"/>
      <c r="BJ16" s="316"/>
      <c r="BK16" s="316"/>
      <c r="BL16" s="316"/>
      <c r="BM16" s="316"/>
      <c r="BN16" s="316"/>
      <c r="BO16" s="316"/>
      <c r="BP16" s="316"/>
      <c r="BQ16" s="317"/>
      <c r="BR16" s="27"/>
      <c r="BS16" s="27"/>
      <c r="BT16" s="32">
        <f t="shared" si="0"/>
        <v>0</v>
      </c>
    </row>
    <row r="17" spans="1:72" s="250" customFormat="1">
      <c r="A17" s="431">
        <v>36</v>
      </c>
      <c r="B17" s="486" t="s">
        <v>268</v>
      </c>
      <c r="C17" s="376"/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377"/>
      <c r="O17" s="377"/>
      <c r="P17" s="377"/>
      <c r="Q17" s="377"/>
      <c r="R17" s="377">
        <v>68</v>
      </c>
      <c r="S17" s="377">
        <v>310</v>
      </c>
      <c r="T17" s="377"/>
      <c r="U17" s="377"/>
      <c r="V17" s="377"/>
      <c r="W17" s="377"/>
      <c r="X17" s="377"/>
      <c r="Y17" s="377"/>
      <c r="Z17" s="377"/>
      <c r="AA17" s="377"/>
      <c r="AB17" s="377"/>
      <c r="AC17" s="377"/>
      <c r="AD17" s="377"/>
      <c r="AE17" s="377"/>
      <c r="AF17" s="377"/>
      <c r="AG17" s="377"/>
      <c r="AH17" s="377"/>
      <c r="AI17" s="377"/>
      <c r="AJ17" s="377"/>
      <c r="AK17" s="377"/>
      <c r="AL17" s="377"/>
      <c r="AM17" s="377"/>
      <c r="AN17" s="377"/>
      <c r="AO17" s="377"/>
      <c r="AP17" s="377"/>
      <c r="AQ17" s="377"/>
      <c r="AR17" s="377"/>
      <c r="AS17" s="377"/>
      <c r="AT17" s="377"/>
      <c r="AU17" s="377"/>
      <c r="AV17" s="377"/>
      <c r="AW17" s="377"/>
      <c r="AX17" s="377"/>
      <c r="AY17" s="377"/>
      <c r="AZ17" s="377"/>
      <c r="BA17" s="377"/>
      <c r="BB17" s="377"/>
      <c r="BC17" s="377">
        <v>68</v>
      </c>
      <c r="BD17" s="377"/>
      <c r="BE17" s="377"/>
      <c r="BF17" s="377"/>
      <c r="BG17" s="377"/>
      <c r="BH17" s="377"/>
      <c r="BI17" s="377"/>
      <c r="BJ17" s="316"/>
      <c r="BK17" s="316"/>
      <c r="BL17" s="316"/>
      <c r="BM17" s="316"/>
      <c r="BN17" s="316"/>
      <c r="BO17" s="316"/>
      <c r="BP17" s="316"/>
      <c r="BQ17" s="317"/>
      <c r="BR17" s="27"/>
      <c r="BS17" s="27"/>
      <c r="BT17" s="32">
        <f t="shared" si="0"/>
        <v>446</v>
      </c>
    </row>
    <row r="18" spans="1:72" s="250" customFormat="1">
      <c r="A18" s="431">
        <v>37</v>
      </c>
      <c r="B18" s="486" t="s">
        <v>213</v>
      </c>
      <c r="C18" s="376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  <c r="X18" s="377"/>
      <c r="Y18" s="377"/>
      <c r="Z18" s="377"/>
      <c r="AA18" s="377"/>
      <c r="AB18" s="377"/>
      <c r="AC18" s="377"/>
      <c r="AD18" s="377"/>
      <c r="AE18" s="377"/>
      <c r="AF18" s="377"/>
      <c r="AG18" s="377"/>
      <c r="AH18" s="377"/>
      <c r="AI18" s="377"/>
      <c r="AJ18" s="377"/>
      <c r="AK18" s="377"/>
      <c r="AL18" s="377"/>
      <c r="AM18" s="377"/>
      <c r="AN18" s="377"/>
      <c r="AO18" s="377"/>
      <c r="AP18" s="377"/>
      <c r="AQ18" s="377"/>
      <c r="AR18" s="377"/>
      <c r="AS18" s="377"/>
      <c r="AT18" s="377"/>
      <c r="AU18" s="377"/>
      <c r="AV18" s="377"/>
      <c r="AW18" s="377"/>
      <c r="AX18" s="377"/>
      <c r="AY18" s="377">
        <v>588</v>
      </c>
      <c r="AZ18" s="377"/>
      <c r="BA18" s="377"/>
      <c r="BB18" s="377"/>
      <c r="BC18" s="377"/>
      <c r="BD18" s="377"/>
      <c r="BE18" s="377"/>
      <c r="BF18" s="377"/>
      <c r="BG18" s="377"/>
      <c r="BH18" s="377"/>
      <c r="BI18" s="377"/>
      <c r="BJ18" s="316"/>
      <c r="BK18" s="316"/>
      <c r="BL18" s="316"/>
      <c r="BM18" s="316"/>
      <c r="BN18" s="316"/>
      <c r="BO18" s="316"/>
      <c r="BP18" s="316"/>
      <c r="BQ18" s="317"/>
      <c r="BR18" s="27"/>
      <c r="BS18" s="27"/>
      <c r="BT18" s="32">
        <f t="shared" si="0"/>
        <v>588</v>
      </c>
    </row>
    <row r="19" spans="1:72" s="250" customFormat="1">
      <c r="A19" s="431">
        <v>38</v>
      </c>
      <c r="B19" s="653" t="s">
        <v>214</v>
      </c>
      <c r="C19" s="376"/>
      <c r="D19" s="377"/>
      <c r="E19" s="377"/>
      <c r="F19" s="377"/>
      <c r="G19" s="377"/>
      <c r="H19" s="377"/>
      <c r="I19" s="377"/>
      <c r="J19" s="377"/>
      <c r="K19" s="377"/>
      <c r="L19" s="377"/>
      <c r="M19" s="377"/>
      <c r="N19" s="377"/>
      <c r="O19" s="377"/>
      <c r="P19" s="377"/>
      <c r="Q19" s="377"/>
      <c r="R19" s="377"/>
      <c r="S19" s="377"/>
      <c r="T19" s="377"/>
      <c r="U19" s="377"/>
      <c r="V19" s="377"/>
      <c r="W19" s="377"/>
      <c r="X19" s="377"/>
      <c r="Y19" s="377"/>
      <c r="Z19" s="377"/>
      <c r="AA19" s="377"/>
      <c r="AB19" s="377"/>
      <c r="AC19" s="377"/>
      <c r="AD19" s="377"/>
      <c r="AE19" s="377"/>
      <c r="AF19" s="377"/>
      <c r="AG19" s="377"/>
      <c r="AH19" s="377"/>
      <c r="AI19" s="377"/>
      <c r="AJ19" s="377"/>
      <c r="AK19" s="377"/>
      <c r="AL19" s="377"/>
      <c r="AM19" s="377"/>
      <c r="AN19" s="377"/>
      <c r="AO19" s="377"/>
      <c r="AP19" s="377"/>
      <c r="AQ19" s="377"/>
      <c r="AR19" s="377"/>
      <c r="AS19" s="377"/>
      <c r="AT19" s="377"/>
      <c r="AU19" s="377"/>
      <c r="AV19" s="377"/>
      <c r="AW19" s="377"/>
      <c r="AX19" s="377"/>
      <c r="AY19" s="377"/>
      <c r="AZ19" s="377"/>
      <c r="BA19" s="377"/>
      <c r="BB19" s="377"/>
      <c r="BC19" s="377"/>
      <c r="BD19" s="377"/>
      <c r="BE19" s="377"/>
      <c r="BF19" s="377"/>
      <c r="BG19" s="377"/>
      <c r="BH19" s="377"/>
      <c r="BI19" s="377"/>
      <c r="BJ19" s="316"/>
      <c r="BK19" s="316"/>
      <c r="BL19" s="316"/>
      <c r="BM19" s="316"/>
      <c r="BN19" s="316"/>
      <c r="BO19" s="316"/>
      <c r="BP19" s="316"/>
      <c r="BQ19" s="317"/>
      <c r="BR19" s="27"/>
      <c r="BS19" s="27"/>
      <c r="BT19" s="32">
        <f t="shared" si="0"/>
        <v>0</v>
      </c>
    </row>
    <row r="20" spans="1:72" s="250" customFormat="1">
      <c r="A20" s="430">
        <v>39</v>
      </c>
      <c r="B20" s="653" t="s">
        <v>215</v>
      </c>
      <c r="C20" s="376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7"/>
      <c r="S20" s="377"/>
      <c r="T20" s="377"/>
      <c r="U20" s="377"/>
      <c r="V20" s="377"/>
      <c r="W20" s="377"/>
      <c r="X20" s="377"/>
      <c r="Y20" s="377"/>
      <c r="Z20" s="377"/>
      <c r="AA20" s="377"/>
      <c r="AB20" s="377"/>
      <c r="AC20" s="377"/>
      <c r="AD20" s="377"/>
      <c r="AE20" s="377"/>
      <c r="AF20" s="377"/>
      <c r="AG20" s="377"/>
      <c r="AH20" s="377"/>
      <c r="AI20" s="377"/>
      <c r="AJ20" s="377"/>
      <c r="AK20" s="377"/>
      <c r="AL20" s="377"/>
      <c r="AM20" s="377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7"/>
      <c r="BB20" s="377"/>
      <c r="BC20" s="377"/>
      <c r="BD20" s="377"/>
      <c r="BE20" s="377"/>
      <c r="BF20" s="377"/>
      <c r="BG20" s="377"/>
      <c r="BH20" s="377"/>
      <c r="BI20" s="377"/>
      <c r="BJ20" s="316"/>
      <c r="BK20" s="316"/>
      <c r="BL20" s="316"/>
      <c r="BM20" s="316"/>
      <c r="BN20" s="316"/>
      <c r="BO20" s="316"/>
      <c r="BP20" s="316"/>
      <c r="BQ20" s="317"/>
      <c r="BR20" s="27"/>
      <c r="BS20" s="27"/>
      <c r="BT20" s="32">
        <f t="shared" si="0"/>
        <v>0</v>
      </c>
    </row>
    <row r="21" spans="1:72" s="250" customFormat="1">
      <c r="A21" s="430">
        <v>40</v>
      </c>
      <c r="B21" s="653" t="s">
        <v>216</v>
      </c>
      <c r="C21" s="376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377"/>
      <c r="AB21" s="377"/>
      <c r="AC21" s="377"/>
      <c r="AD21" s="377"/>
      <c r="AE21" s="377"/>
      <c r="AF21" s="377"/>
      <c r="AG21" s="377"/>
      <c r="AH21" s="377"/>
      <c r="AI21" s="377"/>
      <c r="AJ21" s="377"/>
      <c r="AK21" s="377"/>
      <c r="AL21" s="377"/>
      <c r="AM21" s="377"/>
      <c r="AN21" s="377"/>
      <c r="AO21" s="377"/>
      <c r="AP21" s="377"/>
      <c r="AQ21" s="377"/>
      <c r="AR21" s="377"/>
      <c r="AS21" s="377"/>
      <c r="AT21" s="377"/>
      <c r="AU21" s="377"/>
      <c r="AV21" s="377"/>
      <c r="AW21" s="377"/>
      <c r="AX21" s="377"/>
      <c r="AY21" s="377"/>
      <c r="AZ21" s="377"/>
      <c r="BA21" s="377"/>
      <c r="BB21" s="377"/>
      <c r="BC21" s="377"/>
      <c r="BD21" s="377"/>
      <c r="BE21" s="377"/>
      <c r="BF21" s="377"/>
      <c r="BG21" s="377"/>
      <c r="BH21" s="377"/>
      <c r="BI21" s="377"/>
      <c r="BJ21" s="316"/>
      <c r="BK21" s="316"/>
      <c r="BL21" s="316"/>
      <c r="BM21" s="316"/>
      <c r="BN21" s="316"/>
      <c r="BO21" s="316"/>
      <c r="BP21" s="316"/>
      <c r="BQ21" s="317"/>
      <c r="BR21" s="27"/>
      <c r="BS21" s="27"/>
      <c r="BT21" s="32">
        <f t="shared" si="0"/>
        <v>0</v>
      </c>
    </row>
    <row r="22" spans="1:72" s="250" customFormat="1">
      <c r="A22" s="430">
        <v>41</v>
      </c>
      <c r="B22" s="486" t="s">
        <v>217</v>
      </c>
      <c r="C22" s="376"/>
      <c r="D22" s="377"/>
      <c r="E22" s="377"/>
      <c r="F22" s="377"/>
      <c r="G22" s="377"/>
      <c r="H22" s="377"/>
      <c r="I22" s="377">
        <v>66.94</v>
      </c>
      <c r="J22" s="377"/>
      <c r="K22" s="377"/>
      <c r="L22" s="377">
        <v>55</v>
      </c>
      <c r="M22" s="377"/>
      <c r="N22" s="377"/>
      <c r="O22" s="377"/>
      <c r="P22" s="377"/>
      <c r="Q22" s="377"/>
      <c r="R22" s="377"/>
      <c r="S22" s="377"/>
      <c r="T22" s="377"/>
      <c r="U22" s="377"/>
      <c r="V22" s="377"/>
      <c r="W22" s="377"/>
      <c r="X22" s="377"/>
      <c r="Y22" s="377"/>
      <c r="Z22" s="377"/>
      <c r="AA22" s="377"/>
      <c r="AB22" s="377"/>
      <c r="AC22" s="377"/>
      <c r="AD22" s="377"/>
      <c r="AE22" s="377"/>
      <c r="AF22" s="377"/>
      <c r="AG22" s="377"/>
      <c r="AH22" s="377"/>
      <c r="AI22" s="377"/>
      <c r="AJ22" s="377"/>
      <c r="AK22" s="377"/>
      <c r="AL22" s="377"/>
      <c r="AM22" s="377"/>
      <c r="AN22" s="377"/>
      <c r="AO22" s="377"/>
      <c r="AP22" s="377"/>
      <c r="AQ22" s="377"/>
      <c r="AR22" s="377"/>
      <c r="AS22" s="377"/>
      <c r="AT22" s="377"/>
      <c r="AU22" s="377"/>
      <c r="AV22" s="377"/>
      <c r="AW22" s="377"/>
      <c r="AX22" s="377"/>
      <c r="AY22" s="377"/>
      <c r="AZ22" s="377"/>
      <c r="BA22" s="377"/>
      <c r="BB22" s="377"/>
      <c r="BC22" s="377"/>
      <c r="BD22" s="377"/>
      <c r="BE22" s="377"/>
      <c r="BF22" s="377"/>
      <c r="BG22" s="377"/>
      <c r="BH22" s="377"/>
      <c r="BI22" s="377"/>
      <c r="BJ22" s="316"/>
      <c r="BK22" s="316"/>
      <c r="BL22" s="316"/>
      <c r="BM22" s="316"/>
      <c r="BN22" s="316"/>
      <c r="BO22" s="316"/>
      <c r="BP22" s="316"/>
      <c r="BQ22" s="317"/>
      <c r="BR22" s="27"/>
      <c r="BS22" s="27"/>
      <c r="BT22" s="32">
        <f t="shared" si="0"/>
        <v>121.94</v>
      </c>
    </row>
    <row r="23" spans="1:72" s="250" customFormat="1">
      <c r="A23" s="430">
        <v>42</v>
      </c>
      <c r="B23" s="486" t="s">
        <v>218</v>
      </c>
      <c r="C23" s="376"/>
      <c r="D23" s="377"/>
      <c r="E23" s="377"/>
      <c r="F23" s="377"/>
      <c r="G23" s="377"/>
      <c r="H23" s="377"/>
      <c r="I23" s="377"/>
      <c r="J23" s="377"/>
      <c r="K23" s="377">
        <v>612.03</v>
      </c>
      <c r="L23" s="377"/>
      <c r="M23" s="377"/>
      <c r="N23" s="377"/>
      <c r="O23" s="377"/>
      <c r="P23" s="377"/>
      <c r="Q23" s="377"/>
      <c r="R23" s="377"/>
      <c r="S23" s="377"/>
      <c r="T23" s="377"/>
      <c r="U23" s="377"/>
      <c r="V23" s="377"/>
      <c r="W23" s="377"/>
      <c r="X23" s="377"/>
      <c r="Y23" s="377"/>
      <c r="Z23" s="377"/>
      <c r="AA23" s="377"/>
      <c r="AB23" s="377"/>
      <c r="AC23" s="377"/>
      <c r="AD23" s="377"/>
      <c r="AE23" s="377"/>
      <c r="AF23" s="377"/>
      <c r="AG23" s="377"/>
      <c r="AH23" s="377"/>
      <c r="AI23" s="377"/>
      <c r="AJ23" s="377"/>
      <c r="AK23" s="377"/>
      <c r="AL23" s="377"/>
      <c r="AM23" s="377"/>
      <c r="AN23" s="377"/>
      <c r="AO23" s="377"/>
      <c r="AP23" s="377"/>
      <c r="AQ23" s="377"/>
      <c r="AR23" s="377"/>
      <c r="AS23" s="377"/>
      <c r="AT23" s="377"/>
      <c r="AU23" s="377"/>
      <c r="AV23" s="377"/>
      <c r="AW23" s="377"/>
      <c r="AX23" s="377"/>
      <c r="AY23" s="377"/>
      <c r="AZ23" s="377"/>
      <c r="BA23" s="377"/>
      <c r="BB23" s="377"/>
      <c r="BC23" s="377"/>
      <c r="BD23" s="377"/>
      <c r="BE23" s="377"/>
      <c r="BF23" s="377"/>
      <c r="BG23" s="377"/>
      <c r="BH23" s="377"/>
      <c r="BI23" s="377"/>
      <c r="BJ23" s="316"/>
      <c r="BK23" s="316"/>
      <c r="BL23" s="316"/>
      <c r="BM23" s="316"/>
      <c r="BN23" s="316"/>
      <c r="BO23" s="316"/>
      <c r="BP23" s="316"/>
      <c r="BQ23" s="317"/>
      <c r="BR23" s="27"/>
      <c r="BS23" s="27"/>
      <c r="BT23" s="32">
        <f t="shared" si="0"/>
        <v>612.03</v>
      </c>
    </row>
    <row r="24" spans="1:72" s="250" customFormat="1">
      <c r="A24" s="430">
        <v>43</v>
      </c>
      <c r="B24" s="486" t="s">
        <v>219</v>
      </c>
      <c r="C24" s="376"/>
      <c r="D24" s="377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377"/>
      <c r="V24" s="377"/>
      <c r="W24" s="377"/>
      <c r="X24" s="377"/>
      <c r="Y24" s="377"/>
      <c r="Z24" s="377"/>
      <c r="AA24" s="377"/>
      <c r="AB24" s="377"/>
      <c r="AC24" s="377"/>
      <c r="AD24" s="377"/>
      <c r="AE24" s="377"/>
      <c r="AF24" s="377"/>
      <c r="AG24" s="377"/>
      <c r="AH24" s="377"/>
      <c r="AI24" s="377"/>
      <c r="AJ24" s="377"/>
      <c r="AK24" s="377"/>
      <c r="AL24" s="377"/>
      <c r="AM24" s="377"/>
      <c r="AN24" s="377"/>
      <c r="AO24" s="377"/>
      <c r="AP24" s="377"/>
      <c r="AQ24" s="377"/>
      <c r="AR24" s="377"/>
      <c r="AS24" s="377"/>
      <c r="AT24" s="377"/>
      <c r="AU24" s="377"/>
      <c r="AV24" s="377"/>
      <c r="AW24" s="377"/>
      <c r="AX24" s="377"/>
      <c r="AY24" s="377"/>
      <c r="AZ24" s="377"/>
      <c r="BA24" s="377"/>
      <c r="BB24" s="377"/>
      <c r="BC24" s="377"/>
      <c r="BD24" s="377"/>
      <c r="BE24" s="377"/>
      <c r="BF24" s="377"/>
      <c r="BG24" s="377"/>
      <c r="BH24" s="377"/>
      <c r="BI24" s="377"/>
      <c r="BJ24" s="316"/>
      <c r="BK24" s="316"/>
      <c r="BL24" s="316"/>
      <c r="BM24" s="316"/>
      <c r="BN24" s="316"/>
      <c r="BO24" s="316"/>
      <c r="BP24" s="316"/>
      <c r="BQ24" s="317"/>
      <c r="BR24" s="27"/>
      <c r="BS24" s="27"/>
      <c r="BT24" s="32">
        <f t="shared" si="0"/>
        <v>0</v>
      </c>
    </row>
    <row r="25" spans="1:72" s="250" customFormat="1">
      <c r="A25" s="430">
        <v>45</v>
      </c>
      <c r="B25" s="486" t="s">
        <v>220</v>
      </c>
      <c r="C25" s="376"/>
      <c r="D25" s="377"/>
      <c r="E25" s="377"/>
      <c r="F25" s="377"/>
      <c r="G25" s="377"/>
      <c r="H25" s="377">
        <v>176.72</v>
      </c>
      <c r="I25" s="377"/>
      <c r="J25" s="377"/>
      <c r="K25" s="377"/>
      <c r="L25" s="377"/>
      <c r="M25" s="377"/>
      <c r="N25" s="377"/>
      <c r="O25" s="377"/>
      <c r="P25" s="377"/>
      <c r="Q25" s="377"/>
      <c r="R25" s="377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77"/>
      <c r="AM25" s="377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377"/>
      <c r="BB25" s="377"/>
      <c r="BC25" s="377"/>
      <c r="BD25" s="377"/>
      <c r="BE25" s="377"/>
      <c r="BF25" s="377"/>
      <c r="BG25" s="377"/>
      <c r="BH25" s="377"/>
      <c r="BI25" s="377"/>
      <c r="BJ25" s="316"/>
      <c r="BK25" s="316"/>
      <c r="BL25" s="316"/>
      <c r="BM25" s="316"/>
      <c r="BN25" s="316"/>
      <c r="BO25" s="316"/>
      <c r="BP25" s="316"/>
      <c r="BQ25" s="317"/>
      <c r="BR25" s="27"/>
      <c r="BS25" s="27"/>
      <c r="BT25" s="32">
        <f t="shared" si="0"/>
        <v>176.72</v>
      </c>
    </row>
    <row r="26" spans="1:72" s="250" customFormat="1">
      <c r="A26" s="430">
        <v>46</v>
      </c>
      <c r="B26" s="486" t="s">
        <v>221</v>
      </c>
      <c r="C26" s="376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  <c r="AF26" s="377"/>
      <c r="AG26" s="377"/>
      <c r="AH26" s="377"/>
      <c r="AI26" s="377"/>
      <c r="AJ26" s="377"/>
      <c r="AK26" s="377"/>
      <c r="AL26" s="377"/>
      <c r="AM26" s="377"/>
      <c r="AN26" s="377"/>
      <c r="AO26" s="377"/>
      <c r="AP26" s="377"/>
      <c r="AQ26" s="377"/>
      <c r="AR26" s="377"/>
      <c r="AS26" s="377"/>
      <c r="AT26" s="377"/>
      <c r="AU26" s="377"/>
      <c r="AV26" s="377"/>
      <c r="AW26" s="377"/>
      <c r="AX26" s="377"/>
      <c r="AY26" s="377"/>
      <c r="AZ26" s="377"/>
      <c r="BA26" s="377"/>
      <c r="BB26" s="377"/>
      <c r="BC26" s="377"/>
      <c r="BD26" s="377"/>
      <c r="BE26" s="377"/>
      <c r="BF26" s="377"/>
      <c r="BG26" s="377"/>
      <c r="BH26" s="377"/>
      <c r="BI26" s="377"/>
      <c r="BJ26" s="316"/>
      <c r="BK26" s="316"/>
      <c r="BL26" s="316"/>
      <c r="BM26" s="316"/>
      <c r="BN26" s="316"/>
      <c r="BO26" s="316"/>
      <c r="BP26" s="316"/>
      <c r="BQ26" s="317"/>
      <c r="BR26" s="27"/>
      <c r="BS26" s="27"/>
      <c r="BT26" s="32">
        <f>SUM(D26:BP26)</f>
        <v>0</v>
      </c>
    </row>
    <row r="27" spans="1:72" s="250" customFormat="1">
      <c r="A27" s="430">
        <v>47</v>
      </c>
      <c r="B27" s="486" t="s">
        <v>222</v>
      </c>
      <c r="C27" s="376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377"/>
      <c r="R27" s="377"/>
      <c r="S27" s="377"/>
      <c r="T27" s="377"/>
      <c r="U27" s="377"/>
      <c r="V27" s="377"/>
      <c r="W27" s="377"/>
      <c r="X27" s="377"/>
      <c r="Y27" s="377"/>
      <c r="Z27" s="377"/>
      <c r="AA27" s="377"/>
      <c r="AB27" s="377"/>
      <c r="AC27" s="377"/>
      <c r="AD27" s="377"/>
      <c r="AE27" s="377"/>
      <c r="AF27" s="377"/>
      <c r="AG27" s="377"/>
      <c r="AH27" s="377"/>
      <c r="AI27" s="377"/>
      <c r="AJ27" s="377"/>
      <c r="AK27" s="377"/>
      <c r="AL27" s="377"/>
      <c r="AM27" s="377"/>
      <c r="AN27" s="377">
        <v>2.7</v>
      </c>
      <c r="AO27" s="377"/>
      <c r="AP27" s="377"/>
      <c r="AQ27" s="377"/>
      <c r="AR27" s="377"/>
      <c r="AS27" s="377"/>
      <c r="AT27" s="377"/>
      <c r="AU27" s="377"/>
      <c r="AV27" s="377"/>
      <c r="AW27" s="377"/>
      <c r="AX27" s="377"/>
      <c r="AY27" s="377"/>
      <c r="AZ27" s="377"/>
      <c r="BA27" s="377"/>
      <c r="BB27" s="377"/>
      <c r="BC27" s="377"/>
      <c r="BD27" s="377"/>
      <c r="BE27" s="377"/>
      <c r="BF27" s="377"/>
      <c r="BG27" s="377"/>
      <c r="BH27" s="377"/>
      <c r="BI27" s="377"/>
      <c r="BJ27" s="316"/>
      <c r="BK27" s="316"/>
      <c r="BL27" s="316"/>
      <c r="BM27" s="316"/>
      <c r="BN27" s="316"/>
      <c r="BO27" s="316"/>
      <c r="BP27" s="316"/>
      <c r="BQ27" s="317"/>
      <c r="BR27" s="27"/>
      <c r="BS27" s="27"/>
      <c r="BT27" s="32">
        <f>SUM(D27:BP27)</f>
        <v>2.7</v>
      </c>
    </row>
    <row r="28" spans="1:72" s="250" customFormat="1">
      <c r="A28" s="430">
        <v>48</v>
      </c>
      <c r="B28" s="486" t="s">
        <v>223</v>
      </c>
      <c r="C28" s="376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/>
      <c r="T28" s="377"/>
      <c r="U28" s="377"/>
      <c r="V28" s="377"/>
      <c r="W28" s="377"/>
      <c r="X28" s="377"/>
      <c r="Y28" s="377"/>
      <c r="Z28" s="377"/>
      <c r="AA28" s="377"/>
      <c r="AB28" s="377"/>
      <c r="AC28" s="377"/>
      <c r="AD28" s="377"/>
      <c r="AE28" s="377"/>
      <c r="AF28" s="377"/>
      <c r="AG28" s="377"/>
      <c r="AH28" s="377"/>
      <c r="AI28" s="377"/>
      <c r="AJ28" s="377"/>
      <c r="AK28" s="377"/>
      <c r="AL28" s="377"/>
      <c r="AM28" s="377"/>
      <c r="AN28" s="377"/>
      <c r="AO28" s="377"/>
      <c r="AP28" s="377"/>
      <c r="AQ28" s="377"/>
      <c r="AR28" s="377"/>
      <c r="AS28" s="377"/>
      <c r="AT28" s="377"/>
      <c r="AU28" s="377"/>
      <c r="AV28" s="377"/>
      <c r="AW28" s="377"/>
      <c r="AX28" s="377"/>
      <c r="AY28" s="377"/>
      <c r="AZ28" s="377"/>
      <c r="BA28" s="377"/>
      <c r="BB28" s="377"/>
      <c r="BC28" s="377"/>
      <c r="BD28" s="377"/>
      <c r="BE28" s="377"/>
      <c r="BF28" s="377"/>
      <c r="BG28" s="377"/>
      <c r="BH28" s="377"/>
      <c r="BI28" s="377"/>
      <c r="BJ28" s="316"/>
      <c r="BK28" s="316"/>
      <c r="BL28" s="316"/>
      <c r="BM28" s="316"/>
      <c r="BN28" s="316"/>
      <c r="BO28" s="316"/>
      <c r="BP28" s="316"/>
      <c r="BQ28" s="317"/>
      <c r="BR28" s="27"/>
      <c r="BS28" s="27"/>
      <c r="BT28" s="32">
        <f t="shared" ref="BT28:BT38" si="1">SUM(D28:BP28)</f>
        <v>0</v>
      </c>
    </row>
    <row r="29" spans="1:72" s="250" customFormat="1">
      <c r="A29" s="430">
        <v>49</v>
      </c>
      <c r="B29" s="486" t="s">
        <v>224</v>
      </c>
      <c r="C29" s="376"/>
      <c r="D29" s="377"/>
      <c r="E29" s="377"/>
      <c r="F29" s="377"/>
      <c r="G29" s="377"/>
      <c r="H29" s="377"/>
      <c r="I29" s="377">
        <v>8.6</v>
      </c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377"/>
      <c r="V29" s="377"/>
      <c r="W29" s="377"/>
      <c r="X29" s="377"/>
      <c r="Y29" s="377"/>
      <c r="Z29" s="377"/>
      <c r="AA29" s="377"/>
      <c r="AB29" s="377"/>
      <c r="AC29" s="377"/>
      <c r="AD29" s="377"/>
      <c r="AE29" s="377"/>
      <c r="AF29" s="377"/>
      <c r="AG29" s="377"/>
      <c r="AH29" s="377"/>
      <c r="AI29" s="377"/>
      <c r="AJ29" s="377"/>
      <c r="AK29" s="377"/>
      <c r="AL29" s="377"/>
      <c r="AM29" s="377"/>
      <c r="AN29" s="377"/>
      <c r="AO29" s="377"/>
      <c r="AP29" s="377"/>
      <c r="AQ29" s="377"/>
      <c r="AR29" s="377"/>
      <c r="AS29" s="377"/>
      <c r="AT29" s="377"/>
      <c r="AU29" s="377"/>
      <c r="AV29" s="377"/>
      <c r="AW29" s="377"/>
      <c r="AX29" s="377"/>
      <c r="AY29" s="377"/>
      <c r="AZ29" s="377"/>
      <c r="BA29" s="377"/>
      <c r="BB29" s="377"/>
      <c r="BC29" s="377"/>
      <c r="BD29" s="377"/>
      <c r="BE29" s="377"/>
      <c r="BF29" s="377"/>
      <c r="BG29" s="377"/>
      <c r="BH29" s="377"/>
      <c r="BI29" s="377"/>
      <c r="BJ29" s="316"/>
      <c r="BK29" s="316"/>
      <c r="BL29" s="316"/>
      <c r="BM29" s="316"/>
      <c r="BN29" s="316"/>
      <c r="BO29" s="316"/>
      <c r="BP29" s="316"/>
      <c r="BQ29" s="317"/>
      <c r="BR29" s="27"/>
      <c r="BS29" s="27"/>
      <c r="BT29" s="32">
        <f t="shared" si="1"/>
        <v>8.6</v>
      </c>
    </row>
    <row r="30" spans="1:72" s="250" customFormat="1">
      <c r="A30" s="430">
        <v>50</v>
      </c>
      <c r="B30" s="486" t="s">
        <v>273</v>
      </c>
      <c r="C30" s="376"/>
      <c r="D30" s="377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  <c r="P30" s="377"/>
      <c r="Q30" s="377"/>
      <c r="R30" s="377"/>
      <c r="S30" s="377"/>
      <c r="T30" s="377"/>
      <c r="U30" s="377"/>
      <c r="V30" s="377"/>
      <c r="W30" s="377"/>
      <c r="X30" s="377"/>
      <c r="Y30" s="377"/>
      <c r="Z30" s="377"/>
      <c r="AA30" s="377"/>
      <c r="AB30" s="377"/>
      <c r="AC30" s="377"/>
      <c r="AD30" s="377"/>
      <c r="AE30" s="377"/>
      <c r="AF30" s="377"/>
      <c r="AG30" s="377"/>
      <c r="AH30" s="377"/>
      <c r="AI30" s="377"/>
      <c r="AJ30" s="377"/>
      <c r="AK30" s="377"/>
      <c r="AL30" s="377"/>
      <c r="AM30" s="377"/>
      <c r="AN30" s="377"/>
      <c r="AO30" s="377"/>
      <c r="AP30" s="377"/>
      <c r="AQ30" s="377"/>
      <c r="AR30" s="377"/>
      <c r="AS30" s="377"/>
      <c r="AT30" s="377"/>
      <c r="AU30" s="377"/>
      <c r="AV30" s="377"/>
      <c r="AW30" s="377"/>
      <c r="AX30" s="377"/>
      <c r="AY30" s="377"/>
      <c r="AZ30" s="377"/>
      <c r="BA30" s="377"/>
      <c r="BB30" s="377"/>
      <c r="BC30" s="377"/>
      <c r="BD30" s="377"/>
      <c r="BE30" s="377"/>
      <c r="BF30" s="377"/>
      <c r="BG30" s="377"/>
      <c r="BH30" s="377"/>
      <c r="BI30" s="377"/>
      <c r="BJ30" s="316"/>
      <c r="BK30" s="316"/>
      <c r="BL30" s="316"/>
      <c r="BM30" s="316"/>
      <c r="BN30" s="316"/>
      <c r="BO30" s="316"/>
      <c r="BP30" s="316"/>
      <c r="BQ30" s="317"/>
      <c r="BR30" s="27"/>
      <c r="BS30" s="27"/>
      <c r="BT30" s="32">
        <f t="shared" si="1"/>
        <v>0</v>
      </c>
    </row>
    <row r="31" spans="1:72" s="250" customFormat="1">
      <c r="A31" s="430">
        <v>51</v>
      </c>
      <c r="B31" s="486" t="s">
        <v>225</v>
      </c>
      <c r="C31" s="376"/>
      <c r="D31" s="377"/>
      <c r="E31" s="377"/>
      <c r="F31" s="377"/>
      <c r="G31" s="377"/>
      <c r="H31" s="377"/>
      <c r="I31" s="377"/>
      <c r="J31" s="377"/>
      <c r="K31" s="377"/>
      <c r="L31" s="377"/>
      <c r="M31" s="377"/>
      <c r="N31" s="377"/>
      <c r="O31" s="377"/>
      <c r="P31" s="377"/>
      <c r="Q31" s="377"/>
      <c r="R31" s="377"/>
      <c r="S31" s="377"/>
      <c r="T31" s="377"/>
      <c r="U31" s="377"/>
      <c r="V31" s="377"/>
      <c r="W31" s="377"/>
      <c r="X31" s="377"/>
      <c r="Y31" s="377"/>
      <c r="Z31" s="377"/>
      <c r="AA31" s="377"/>
      <c r="AB31" s="377"/>
      <c r="AC31" s="377"/>
      <c r="AD31" s="377"/>
      <c r="AE31" s="377"/>
      <c r="AF31" s="377"/>
      <c r="AG31" s="377"/>
      <c r="AH31" s="377"/>
      <c r="AI31" s="377"/>
      <c r="AJ31" s="377"/>
      <c r="AK31" s="377"/>
      <c r="AL31" s="377"/>
      <c r="AM31" s="377"/>
      <c r="AN31" s="377"/>
      <c r="AO31" s="377"/>
      <c r="AP31" s="377"/>
      <c r="AQ31" s="377"/>
      <c r="AR31" s="377"/>
      <c r="AS31" s="377"/>
      <c r="AT31" s="377"/>
      <c r="AU31" s="377"/>
      <c r="AV31" s="377"/>
      <c r="AW31" s="377"/>
      <c r="AX31" s="377"/>
      <c r="AY31" s="377"/>
      <c r="AZ31" s="377"/>
      <c r="BA31" s="377"/>
      <c r="BB31" s="377"/>
      <c r="BC31" s="377"/>
      <c r="BD31" s="377"/>
      <c r="BE31" s="377"/>
      <c r="BF31" s="377"/>
      <c r="BG31" s="377"/>
      <c r="BH31" s="377"/>
      <c r="BI31" s="377"/>
      <c r="BJ31" s="316"/>
      <c r="BK31" s="316"/>
      <c r="BL31" s="316"/>
      <c r="BM31" s="316"/>
      <c r="BN31" s="316"/>
      <c r="BO31" s="316"/>
      <c r="BP31" s="316"/>
      <c r="BQ31" s="317"/>
      <c r="BR31" s="27"/>
      <c r="BS31" s="27"/>
      <c r="BT31" s="32">
        <f t="shared" si="1"/>
        <v>0</v>
      </c>
    </row>
    <row r="32" spans="1:72" s="250" customFormat="1">
      <c r="A32" s="434">
        <v>52</v>
      </c>
      <c r="B32" s="486" t="s">
        <v>226</v>
      </c>
      <c r="C32" s="376"/>
      <c r="D32" s="377"/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  <c r="Q32" s="377"/>
      <c r="R32" s="377"/>
      <c r="S32" s="377"/>
      <c r="T32" s="377"/>
      <c r="U32" s="377"/>
      <c r="V32" s="377"/>
      <c r="W32" s="377"/>
      <c r="X32" s="377"/>
      <c r="Y32" s="377"/>
      <c r="Z32" s="377"/>
      <c r="AA32" s="377"/>
      <c r="AB32" s="377"/>
      <c r="AC32" s="377"/>
      <c r="AD32" s="377"/>
      <c r="AE32" s="377"/>
      <c r="AF32" s="377"/>
      <c r="AG32" s="377"/>
      <c r="AH32" s="377"/>
      <c r="AI32" s="377"/>
      <c r="AJ32" s="377"/>
      <c r="AK32" s="377"/>
      <c r="AL32" s="377"/>
      <c r="AM32" s="377"/>
      <c r="AN32" s="377"/>
      <c r="AO32" s="377"/>
      <c r="AP32" s="377"/>
      <c r="AQ32" s="377"/>
      <c r="AR32" s="377"/>
      <c r="AS32" s="377"/>
      <c r="AT32" s="377"/>
      <c r="AU32" s="377"/>
      <c r="AV32" s="377"/>
      <c r="AW32" s="377"/>
      <c r="AX32" s="377"/>
      <c r="AY32" s="377"/>
      <c r="AZ32" s="377"/>
      <c r="BA32" s="377"/>
      <c r="BB32" s="377"/>
      <c r="BC32" s="377"/>
      <c r="BD32" s="377"/>
      <c r="BE32" s="377"/>
      <c r="BF32" s="377"/>
      <c r="BG32" s="377"/>
      <c r="BH32" s="377"/>
      <c r="BI32" s="377"/>
      <c r="BJ32" s="316"/>
      <c r="BK32" s="316"/>
      <c r="BL32" s="316"/>
      <c r="BM32" s="316"/>
      <c r="BN32" s="316"/>
      <c r="BO32" s="316"/>
      <c r="BP32" s="316"/>
      <c r="BQ32" s="317"/>
      <c r="BR32" s="27"/>
      <c r="BS32" s="27"/>
      <c r="BT32" s="32">
        <f t="shared" si="1"/>
        <v>0</v>
      </c>
    </row>
    <row r="33" spans="1:72" s="250" customFormat="1">
      <c r="A33" s="430">
        <v>53</v>
      </c>
      <c r="B33" s="486" t="s">
        <v>274</v>
      </c>
      <c r="C33" s="376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>
        <v>26.93</v>
      </c>
      <c r="P33" s="377"/>
      <c r="Q33" s="377"/>
      <c r="R33" s="377"/>
      <c r="S33" s="377"/>
      <c r="T33" s="377"/>
      <c r="U33" s="377"/>
      <c r="V33" s="377"/>
      <c r="W33" s="377"/>
      <c r="X33" s="377"/>
      <c r="Y33" s="377"/>
      <c r="Z33" s="377"/>
      <c r="AA33" s="377"/>
      <c r="AB33" s="377"/>
      <c r="AC33" s="377"/>
      <c r="AD33" s="377"/>
      <c r="AE33" s="377"/>
      <c r="AF33" s="377"/>
      <c r="AG33" s="377"/>
      <c r="AH33" s="377"/>
      <c r="AI33" s="377"/>
      <c r="AJ33" s="377"/>
      <c r="AK33" s="377"/>
      <c r="AL33" s="377"/>
      <c r="AM33" s="377"/>
      <c r="AN33" s="377"/>
      <c r="AO33" s="377"/>
      <c r="AP33" s="377"/>
      <c r="AQ33" s="377"/>
      <c r="AR33" s="377"/>
      <c r="AS33" s="377"/>
      <c r="AT33" s="377"/>
      <c r="AU33" s="377"/>
      <c r="AV33" s="377"/>
      <c r="AW33" s="377"/>
      <c r="AX33" s="377"/>
      <c r="AY33" s="377"/>
      <c r="AZ33" s="377"/>
      <c r="BA33" s="377"/>
      <c r="BB33" s="377"/>
      <c r="BC33" s="377"/>
      <c r="BD33" s="377"/>
      <c r="BE33" s="377"/>
      <c r="BF33" s="377"/>
      <c r="BG33" s="377"/>
      <c r="BH33" s="377"/>
      <c r="BI33" s="377"/>
      <c r="BJ33" s="316"/>
      <c r="BK33" s="316"/>
      <c r="BL33" s="316"/>
      <c r="BM33" s="316"/>
      <c r="BN33" s="316"/>
      <c r="BO33" s="316"/>
      <c r="BP33" s="316"/>
      <c r="BQ33" s="317"/>
      <c r="BR33" s="27"/>
      <c r="BS33" s="27"/>
      <c r="BT33" s="32">
        <f t="shared" si="1"/>
        <v>26.93</v>
      </c>
    </row>
    <row r="34" spans="1:72" s="250" customFormat="1">
      <c r="A34" s="430">
        <v>55</v>
      </c>
      <c r="B34" s="486" t="s">
        <v>227</v>
      </c>
      <c r="C34" s="376"/>
      <c r="D34" s="377"/>
      <c r="E34" s="377"/>
      <c r="F34" s="377"/>
      <c r="G34" s="377"/>
      <c r="H34" s="377"/>
      <c r="I34" s="377"/>
      <c r="J34" s="377"/>
      <c r="K34" s="377"/>
      <c r="L34" s="377"/>
      <c r="M34" s="377"/>
      <c r="N34" s="377"/>
      <c r="O34" s="377">
        <v>35.5</v>
      </c>
      <c r="P34" s="377"/>
      <c r="Q34" s="377"/>
      <c r="R34" s="377"/>
      <c r="S34" s="377"/>
      <c r="T34" s="377"/>
      <c r="U34" s="377"/>
      <c r="V34" s="377"/>
      <c r="W34" s="377"/>
      <c r="X34" s="377"/>
      <c r="Y34" s="377"/>
      <c r="Z34" s="377"/>
      <c r="AA34" s="377"/>
      <c r="AB34" s="377"/>
      <c r="AC34" s="377"/>
      <c r="AD34" s="377"/>
      <c r="AE34" s="377"/>
      <c r="AF34" s="377"/>
      <c r="AG34" s="377"/>
      <c r="AH34" s="377"/>
      <c r="AI34" s="377"/>
      <c r="AJ34" s="377"/>
      <c r="AK34" s="377"/>
      <c r="AL34" s="377"/>
      <c r="AM34" s="377"/>
      <c r="AN34" s="377"/>
      <c r="AO34" s="377"/>
      <c r="AP34" s="377"/>
      <c r="AQ34" s="377"/>
      <c r="AR34" s="377"/>
      <c r="AS34" s="377"/>
      <c r="AT34" s="377"/>
      <c r="AU34" s="377"/>
      <c r="AV34" s="377"/>
      <c r="AW34" s="377"/>
      <c r="AX34" s="377"/>
      <c r="AY34" s="377"/>
      <c r="AZ34" s="377"/>
      <c r="BA34" s="377"/>
      <c r="BB34" s="377"/>
      <c r="BC34" s="377"/>
      <c r="BD34" s="377"/>
      <c r="BE34" s="377"/>
      <c r="BF34" s="377"/>
      <c r="BG34" s="377"/>
      <c r="BH34" s="377"/>
      <c r="BI34" s="377"/>
      <c r="BJ34" s="316"/>
      <c r="BK34" s="316"/>
      <c r="BL34" s="316"/>
      <c r="BM34" s="316"/>
      <c r="BN34" s="316"/>
      <c r="BO34" s="316"/>
      <c r="BP34" s="316"/>
      <c r="BQ34" s="317"/>
      <c r="BR34" s="27"/>
      <c r="BS34" s="27"/>
      <c r="BT34" s="32">
        <f t="shared" si="1"/>
        <v>35.5</v>
      </c>
    </row>
    <row r="35" spans="1:72" s="250" customFormat="1" ht="7.5" thickBot="1">
      <c r="A35" s="430">
        <v>56</v>
      </c>
      <c r="B35" s="486" t="s">
        <v>231</v>
      </c>
      <c r="C35" s="376"/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  <c r="P35" s="377"/>
      <c r="Q35" s="377"/>
      <c r="R35" s="377"/>
      <c r="S35" s="377"/>
      <c r="T35" s="377"/>
      <c r="U35" s="377"/>
      <c r="V35" s="377"/>
      <c r="W35" s="377"/>
      <c r="X35" s="377"/>
      <c r="Y35" s="377"/>
      <c r="Z35" s="377"/>
      <c r="AA35" s="377"/>
      <c r="AB35" s="377"/>
      <c r="AC35" s="377"/>
      <c r="AD35" s="377"/>
      <c r="AE35" s="377"/>
      <c r="AF35" s="377"/>
      <c r="AG35" s="377"/>
      <c r="AH35" s="377"/>
      <c r="AI35" s="377"/>
      <c r="AJ35" s="377"/>
      <c r="AK35" s="377"/>
      <c r="AL35" s="377"/>
      <c r="AM35" s="377"/>
      <c r="AN35" s="377"/>
      <c r="AO35" s="377"/>
      <c r="AP35" s="377"/>
      <c r="AQ35" s="377"/>
      <c r="AR35" s="377"/>
      <c r="AS35" s="377"/>
      <c r="AT35" s="377"/>
      <c r="AU35" s="377"/>
      <c r="AV35" s="377"/>
      <c r="AW35" s="377"/>
      <c r="AX35" s="377"/>
      <c r="AY35" s="377"/>
      <c r="AZ35" s="377"/>
      <c r="BA35" s="377"/>
      <c r="BB35" s="377"/>
      <c r="BC35" s="377"/>
      <c r="BD35" s="377"/>
      <c r="BE35" s="377"/>
      <c r="BF35" s="377"/>
      <c r="BG35" s="377"/>
      <c r="BH35" s="377"/>
      <c r="BI35" s="377"/>
      <c r="BJ35" s="316"/>
      <c r="BK35" s="316"/>
      <c r="BL35" s="316"/>
      <c r="BM35" s="316"/>
      <c r="BN35" s="316"/>
      <c r="BO35" s="316"/>
      <c r="BP35" s="316"/>
      <c r="BQ35" s="317"/>
      <c r="BR35" s="27"/>
      <c r="BS35" s="27"/>
      <c r="BT35" s="32">
        <f t="shared" si="1"/>
        <v>0</v>
      </c>
    </row>
    <row r="36" spans="1:72" s="250" customFormat="1" hidden="1">
      <c r="A36" s="430"/>
      <c r="B36" s="637"/>
      <c r="C36" s="376"/>
      <c r="D36" s="377"/>
      <c r="E36" s="377"/>
      <c r="F36" s="377"/>
      <c r="G36" s="377"/>
      <c r="H36" s="377"/>
      <c r="I36" s="377"/>
      <c r="J36" s="377"/>
      <c r="K36" s="377"/>
      <c r="L36" s="377"/>
      <c r="M36" s="377"/>
      <c r="N36" s="377"/>
      <c r="O36" s="377"/>
      <c r="P36" s="377"/>
      <c r="Q36" s="377"/>
      <c r="R36" s="377"/>
      <c r="S36" s="377"/>
      <c r="T36" s="377"/>
      <c r="U36" s="377"/>
      <c r="V36" s="377"/>
      <c r="W36" s="377"/>
      <c r="X36" s="377"/>
      <c r="Y36" s="377"/>
      <c r="Z36" s="377"/>
      <c r="AA36" s="377"/>
      <c r="AB36" s="377"/>
      <c r="AC36" s="377"/>
      <c r="AD36" s="377"/>
      <c r="AE36" s="377"/>
      <c r="AF36" s="377"/>
      <c r="AG36" s="377"/>
      <c r="AH36" s="377"/>
      <c r="AI36" s="377"/>
      <c r="AJ36" s="377"/>
      <c r="AK36" s="377"/>
      <c r="AL36" s="377"/>
      <c r="AM36" s="377"/>
      <c r="AN36" s="377"/>
      <c r="AO36" s="377"/>
      <c r="AP36" s="377"/>
      <c r="AQ36" s="377"/>
      <c r="AR36" s="377"/>
      <c r="AS36" s="377"/>
      <c r="AT36" s="377"/>
      <c r="AU36" s="377"/>
      <c r="AV36" s="377"/>
      <c r="AW36" s="377"/>
      <c r="AX36" s="377"/>
      <c r="AY36" s="377"/>
      <c r="AZ36" s="377"/>
      <c r="BA36" s="377"/>
      <c r="BB36" s="377"/>
      <c r="BC36" s="377"/>
      <c r="BD36" s="377"/>
      <c r="BE36" s="377"/>
      <c r="BF36" s="377"/>
      <c r="BG36" s="377"/>
      <c r="BH36" s="377"/>
      <c r="BI36" s="377"/>
      <c r="BJ36" s="316"/>
      <c r="BK36" s="316"/>
      <c r="BL36" s="316"/>
      <c r="BM36" s="316"/>
      <c r="BN36" s="316"/>
      <c r="BO36" s="316"/>
      <c r="BP36" s="316"/>
      <c r="BQ36" s="317"/>
      <c r="BR36" s="27"/>
      <c r="BS36" s="27"/>
      <c r="BT36" s="32">
        <f t="shared" si="1"/>
        <v>0</v>
      </c>
    </row>
    <row r="37" spans="1:72" s="250" customFormat="1" hidden="1">
      <c r="A37" s="430"/>
      <c r="B37" s="637"/>
      <c r="C37" s="376"/>
      <c r="D37" s="377"/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77"/>
      <c r="P37" s="377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7"/>
      <c r="AG37" s="377"/>
      <c r="AH37" s="377"/>
      <c r="AI37" s="377"/>
      <c r="AJ37" s="377"/>
      <c r="AK37" s="377"/>
      <c r="AL37" s="377"/>
      <c r="AM37" s="377"/>
      <c r="AN37" s="377"/>
      <c r="AO37" s="377"/>
      <c r="AP37" s="377"/>
      <c r="AQ37" s="377"/>
      <c r="AR37" s="377"/>
      <c r="AS37" s="377"/>
      <c r="AT37" s="377"/>
      <c r="AU37" s="377"/>
      <c r="AV37" s="377"/>
      <c r="AW37" s="377"/>
      <c r="AX37" s="377"/>
      <c r="AY37" s="377"/>
      <c r="AZ37" s="377"/>
      <c r="BA37" s="377"/>
      <c r="BB37" s="377"/>
      <c r="BC37" s="377"/>
      <c r="BD37" s="377"/>
      <c r="BE37" s="377"/>
      <c r="BF37" s="377"/>
      <c r="BG37" s="377"/>
      <c r="BH37" s="377"/>
      <c r="BI37" s="377"/>
      <c r="BJ37" s="316"/>
      <c r="BK37" s="316"/>
      <c r="BL37" s="316"/>
      <c r="BM37" s="316"/>
      <c r="BN37" s="316"/>
      <c r="BO37" s="316"/>
      <c r="BP37" s="316"/>
      <c r="BQ37" s="317"/>
      <c r="BR37" s="27"/>
      <c r="BS37" s="27"/>
      <c r="BT37" s="32">
        <f t="shared" si="1"/>
        <v>0</v>
      </c>
    </row>
    <row r="38" spans="1:72" s="250" customFormat="1" hidden="1">
      <c r="A38" s="430"/>
      <c r="B38" s="485"/>
      <c r="C38" s="376"/>
      <c r="D38" s="377"/>
      <c r="E38" s="377"/>
      <c r="F38" s="377"/>
      <c r="G38" s="377"/>
      <c r="H38" s="377"/>
      <c r="I38" s="377"/>
      <c r="J38" s="377"/>
      <c r="K38" s="377"/>
      <c r="L38" s="377"/>
      <c r="M38" s="377"/>
      <c r="N38" s="377"/>
      <c r="O38" s="377"/>
      <c r="P38" s="377"/>
      <c r="Q38" s="377"/>
      <c r="R38" s="377"/>
      <c r="S38" s="377"/>
      <c r="T38" s="377"/>
      <c r="U38" s="377"/>
      <c r="V38" s="377"/>
      <c r="W38" s="377"/>
      <c r="X38" s="377"/>
      <c r="Y38" s="377"/>
      <c r="Z38" s="377"/>
      <c r="AA38" s="377"/>
      <c r="AB38" s="377"/>
      <c r="AC38" s="377"/>
      <c r="AD38" s="377"/>
      <c r="AE38" s="377"/>
      <c r="AF38" s="377"/>
      <c r="AG38" s="377"/>
      <c r="AH38" s="377"/>
      <c r="AI38" s="377"/>
      <c r="AJ38" s="377"/>
      <c r="AK38" s="377"/>
      <c r="AL38" s="377"/>
      <c r="AM38" s="377"/>
      <c r="AN38" s="377"/>
      <c r="AO38" s="377"/>
      <c r="AP38" s="377"/>
      <c r="AQ38" s="377"/>
      <c r="AR38" s="377"/>
      <c r="AS38" s="377"/>
      <c r="AT38" s="377"/>
      <c r="AU38" s="377"/>
      <c r="AV38" s="377"/>
      <c r="AW38" s="377"/>
      <c r="AX38" s="377"/>
      <c r="AY38" s="377"/>
      <c r="AZ38" s="377"/>
      <c r="BA38" s="377"/>
      <c r="BB38" s="377"/>
      <c r="BC38" s="377"/>
      <c r="BD38" s="377"/>
      <c r="BE38" s="377"/>
      <c r="BF38" s="377"/>
      <c r="BG38" s="377"/>
      <c r="BH38" s="377"/>
      <c r="BI38" s="377"/>
      <c r="BJ38" s="316"/>
      <c r="BK38" s="316"/>
      <c r="BL38" s="316"/>
      <c r="BM38" s="316"/>
      <c r="BN38" s="316"/>
      <c r="BO38" s="316"/>
      <c r="BP38" s="316"/>
      <c r="BQ38" s="317"/>
      <c r="BR38" s="27"/>
      <c r="BS38" s="27"/>
      <c r="BT38" s="32">
        <f t="shared" si="1"/>
        <v>0</v>
      </c>
    </row>
    <row r="39" spans="1:72" s="250" customFormat="1" hidden="1">
      <c r="A39" s="430"/>
      <c r="B39" s="485"/>
      <c r="C39" s="376"/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7"/>
      <c r="S39" s="377"/>
      <c r="T39" s="377"/>
      <c r="U39" s="377"/>
      <c r="V39" s="377"/>
      <c r="W39" s="377"/>
      <c r="X39" s="377"/>
      <c r="Y39" s="377"/>
      <c r="Z39" s="377"/>
      <c r="AA39" s="377"/>
      <c r="AB39" s="377"/>
      <c r="AC39" s="377"/>
      <c r="AD39" s="377"/>
      <c r="AE39" s="377"/>
      <c r="AF39" s="377"/>
      <c r="AG39" s="377"/>
      <c r="AH39" s="377"/>
      <c r="AI39" s="377"/>
      <c r="AJ39" s="377"/>
      <c r="AK39" s="377"/>
      <c r="AL39" s="377"/>
      <c r="AM39" s="377"/>
      <c r="AN39" s="377"/>
      <c r="AO39" s="377"/>
      <c r="AP39" s="377"/>
      <c r="AQ39" s="377"/>
      <c r="AR39" s="377"/>
      <c r="AS39" s="377"/>
      <c r="AT39" s="377"/>
      <c r="AU39" s="377"/>
      <c r="AV39" s="377"/>
      <c r="AW39" s="377"/>
      <c r="AX39" s="377"/>
      <c r="AY39" s="377"/>
      <c r="AZ39" s="377"/>
      <c r="BA39" s="377"/>
      <c r="BB39" s="377"/>
      <c r="BC39" s="377"/>
      <c r="BD39" s="377"/>
      <c r="BE39" s="377"/>
      <c r="BF39" s="377"/>
      <c r="BG39" s="377"/>
      <c r="BH39" s="377"/>
      <c r="BI39" s="377"/>
      <c r="BJ39" s="316"/>
      <c r="BK39" s="316"/>
      <c r="BL39" s="316"/>
      <c r="BM39" s="316"/>
      <c r="BN39" s="316"/>
      <c r="BO39" s="316"/>
      <c r="BP39" s="316"/>
      <c r="BQ39" s="317"/>
      <c r="BR39" s="27"/>
      <c r="BS39" s="27"/>
      <c r="BT39" s="32">
        <f t="shared" ref="BT39:BT44" si="2">SUM(C39:BP39)</f>
        <v>0</v>
      </c>
    </row>
    <row r="40" spans="1:72" s="250" customFormat="1" hidden="1">
      <c r="A40" s="430"/>
      <c r="B40" s="485"/>
      <c r="C40" s="376"/>
      <c r="D40" s="377"/>
      <c r="E40" s="377"/>
      <c r="F40" s="377"/>
      <c r="G40" s="377"/>
      <c r="H40" s="377"/>
      <c r="I40" s="377"/>
      <c r="J40" s="377"/>
      <c r="K40" s="377"/>
      <c r="L40" s="377"/>
      <c r="M40" s="377"/>
      <c r="N40" s="377"/>
      <c r="O40" s="377"/>
      <c r="P40" s="377"/>
      <c r="Q40" s="377"/>
      <c r="R40" s="377"/>
      <c r="S40" s="377"/>
      <c r="T40" s="377"/>
      <c r="U40" s="377"/>
      <c r="V40" s="377"/>
      <c r="W40" s="377"/>
      <c r="X40" s="377"/>
      <c r="Y40" s="377"/>
      <c r="Z40" s="377"/>
      <c r="AA40" s="377"/>
      <c r="AB40" s="377"/>
      <c r="AC40" s="377"/>
      <c r="AD40" s="377"/>
      <c r="AE40" s="377"/>
      <c r="AF40" s="377"/>
      <c r="AG40" s="377"/>
      <c r="AH40" s="377"/>
      <c r="AI40" s="377"/>
      <c r="AJ40" s="377"/>
      <c r="AK40" s="377"/>
      <c r="AL40" s="377"/>
      <c r="AM40" s="377"/>
      <c r="AN40" s="377"/>
      <c r="AO40" s="377"/>
      <c r="AP40" s="377"/>
      <c r="AQ40" s="377"/>
      <c r="AR40" s="377"/>
      <c r="AS40" s="377"/>
      <c r="AT40" s="377"/>
      <c r="AU40" s="377"/>
      <c r="AV40" s="377"/>
      <c r="AW40" s="377"/>
      <c r="AX40" s="377"/>
      <c r="AY40" s="377"/>
      <c r="AZ40" s="377"/>
      <c r="BA40" s="377"/>
      <c r="BB40" s="377"/>
      <c r="BC40" s="377"/>
      <c r="BD40" s="377"/>
      <c r="BE40" s="377"/>
      <c r="BF40" s="377"/>
      <c r="BG40" s="377"/>
      <c r="BH40" s="377"/>
      <c r="BI40" s="377"/>
      <c r="BJ40" s="316"/>
      <c r="BK40" s="316"/>
      <c r="BL40" s="316"/>
      <c r="BM40" s="316"/>
      <c r="BN40" s="316"/>
      <c r="BO40" s="316"/>
      <c r="BP40" s="316"/>
      <c r="BQ40" s="317"/>
      <c r="BR40" s="27"/>
      <c r="BS40" s="27"/>
      <c r="BT40" s="32">
        <f t="shared" si="2"/>
        <v>0</v>
      </c>
    </row>
    <row r="41" spans="1:72" s="250" customFormat="1" hidden="1">
      <c r="A41" s="435"/>
      <c r="B41" s="486"/>
      <c r="C41" s="376"/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377"/>
      <c r="R41" s="377"/>
      <c r="S41" s="377"/>
      <c r="T41" s="377"/>
      <c r="U41" s="377"/>
      <c r="V41" s="377"/>
      <c r="W41" s="377"/>
      <c r="X41" s="377"/>
      <c r="Y41" s="377"/>
      <c r="Z41" s="377"/>
      <c r="AA41" s="377"/>
      <c r="AB41" s="377"/>
      <c r="AC41" s="377"/>
      <c r="AD41" s="377"/>
      <c r="AE41" s="377"/>
      <c r="AF41" s="377"/>
      <c r="AG41" s="377"/>
      <c r="AH41" s="377"/>
      <c r="AI41" s="377"/>
      <c r="AJ41" s="377"/>
      <c r="AK41" s="377"/>
      <c r="AL41" s="377"/>
      <c r="AM41" s="377"/>
      <c r="AN41" s="377"/>
      <c r="AO41" s="377"/>
      <c r="AP41" s="377"/>
      <c r="AQ41" s="377"/>
      <c r="AR41" s="377"/>
      <c r="AS41" s="377"/>
      <c r="AT41" s="377"/>
      <c r="AU41" s="377"/>
      <c r="AV41" s="377"/>
      <c r="AW41" s="377"/>
      <c r="AX41" s="377"/>
      <c r="AY41" s="377"/>
      <c r="AZ41" s="377"/>
      <c r="BA41" s="377"/>
      <c r="BB41" s="377"/>
      <c r="BC41" s="377"/>
      <c r="BD41" s="377"/>
      <c r="BE41" s="377"/>
      <c r="BF41" s="377"/>
      <c r="BG41" s="377"/>
      <c r="BH41" s="377"/>
      <c r="BI41" s="377"/>
      <c r="BJ41" s="316"/>
      <c r="BK41" s="316"/>
      <c r="BL41" s="316"/>
      <c r="BM41" s="316"/>
      <c r="BN41" s="316"/>
      <c r="BO41" s="316"/>
      <c r="BP41" s="316"/>
      <c r="BQ41" s="317"/>
      <c r="BR41" s="27"/>
      <c r="BS41" s="27"/>
      <c r="BT41" s="32">
        <f t="shared" si="2"/>
        <v>0</v>
      </c>
    </row>
    <row r="42" spans="1:72" s="250" customFormat="1" hidden="1">
      <c r="A42" s="435"/>
      <c r="B42" s="485"/>
      <c r="C42" s="376"/>
      <c r="D42" s="377"/>
      <c r="E42" s="377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377"/>
      <c r="R42" s="377"/>
      <c r="S42" s="377"/>
      <c r="T42" s="377"/>
      <c r="U42" s="377"/>
      <c r="V42" s="377"/>
      <c r="W42" s="377"/>
      <c r="X42" s="377"/>
      <c r="Y42" s="377"/>
      <c r="Z42" s="377"/>
      <c r="AA42" s="377"/>
      <c r="AB42" s="377"/>
      <c r="AC42" s="377"/>
      <c r="AD42" s="377"/>
      <c r="AE42" s="377"/>
      <c r="AF42" s="377"/>
      <c r="AG42" s="377"/>
      <c r="AH42" s="377"/>
      <c r="AI42" s="377"/>
      <c r="AJ42" s="377"/>
      <c r="AK42" s="377"/>
      <c r="AL42" s="377"/>
      <c r="AM42" s="377"/>
      <c r="AN42" s="377"/>
      <c r="AO42" s="377"/>
      <c r="AP42" s="377"/>
      <c r="AQ42" s="377"/>
      <c r="AR42" s="377"/>
      <c r="AS42" s="377"/>
      <c r="AT42" s="377"/>
      <c r="AU42" s="377"/>
      <c r="AV42" s="377"/>
      <c r="AW42" s="377"/>
      <c r="AX42" s="377"/>
      <c r="AY42" s="377"/>
      <c r="AZ42" s="377"/>
      <c r="BA42" s="377"/>
      <c r="BB42" s="377"/>
      <c r="BC42" s="377"/>
      <c r="BD42" s="377"/>
      <c r="BE42" s="377"/>
      <c r="BF42" s="377"/>
      <c r="BG42" s="377"/>
      <c r="BH42" s="377"/>
      <c r="BI42" s="377"/>
      <c r="BJ42" s="316"/>
      <c r="BK42" s="316"/>
      <c r="BL42" s="316"/>
      <c r="BM42" s="316"/>
      <c r="BN42" s="316"/>
      <c r="BO42" s="316"/>
      <c r="BP42" s="316"/>
      <c r="BQ42" s="317"/>
      <c r="BR42" s="27"/>
      <c r="BS42" s="27"/>
      <c r="BT42" s="32">
        <f t="shared" si="2"/>
        <v>0</v>
      </c>
    </row>
    <row r="43" spans="1:72" s="250" customFormat="1" hidden="1">
      <c r="A43" s="432"/>
      <c r="B43" s="485"/>
      <c r="C43" s="376"/>
      <c r="D43" s="377"/>
      <c r="E43" s="377"/>
      <c r="F43" s="377"/>
      <c r="G43" s="377"/>
      <c r="H43" s="377"/>
      <c r="I43" s="377"/>
      <c r="J43" s="377"/>
      <c r="K43" s="377"/>
      <c r="L43" s="377"/>
      <c r="M43" s="377"/>
      <c r="N43" s="377"/>
      <c r="O43" s="377"/>
      <c r="P43" s="377"/>
      <c r="Q43" s="377"/>
      <c r="R43" s="377"/>
      <c r="S43" s="377"/>
      <c r="T43" s="377"/>
      <c r="U43" s="377"/>
      <c r="V43" s="377"/>
      <c r="W43" s="377"/>
      <c r="X43" s="377"/>
      <c r="Y43" s="377"/>
      <c r="Z43" s="377"/>
      <c r="AA43" s="377"/>
      <c r="AB43" s="377"/>
      <c r="AC43" s="377"/>
      <c r="AD43" s="377"/>
      <c r="AE43" s="377"/>
      <c r="AF43" s="377"/>
      <c r="AG43" s="377"/>
      <c r="AH43" s="377"/>
      <c r="AI43" s="377"/>
      <c r="AJ43" s="377"/>
      <c r="AK43" s="377"/>
      <c r="AL43" s="377"/>
      <c r="AM43" s="377"/>
      <c r="AN43" s="377"/>
      <c r="AO43" s="377"/>
      <c r="AP43" s="377"/>
      <c r="AQ43" s="377"/>
      <c r="AR43" s="377"/>
      <c r="AS43" s="377"/>
      <c r="AT43" s="377"/>
      <c r="AU43" s="377"/>
      <c r="AV43" s="377"/>
      <c r="AW43" s="377"/>
      <c r="AX43" s="377"/>
      <c r="AY43" s="377"/>
      <c r="AZ43" s="377"/>
      <c r="BA43" s="377"/>
      <c r="BB43" s="377"/>
      <c r="BC43" s="377"/>
      <c r="BD43" s="377"/>
      <c r="BE43" s="377"/>
      <c r="BF43" s="377"/>
      <c r="BG43" s="377"/>
      <c r="BH43" s="377"/>
      <c r="BI43" s="377"/>
      <c r="BJ43" s="316"/>
      <c r="BK43" s="316"/>
      <c r="BL43" s="316"/>
      <c r="BM43" s="316"/>
      <c r="BN43" s="316"/>
      <c r="BO43" s="316"/>
      <c r="BP43" s="316"/>
      <c r="BQ43" s="317"/>
      <c r="BR43" s="27"/>
      <c r="BS43" s="27"/>
      <c r="BT43" s="32">
        <f t="shared" si="2"/>
        <v>0</v>
      </c>
    </row>
    <row r="44" spans="1:72" s="250" customFormat="1" hidden="1">
      <c r="A44" s="431"/>
      <c r="B44" s="485"/>
      <c r="C44" s="376"/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  <c r="AA44" s="377"/>
      <c r="AB44" s="377"/>
      <c r="AC44" s="377"/>
      <c r="AD44" s="377"/>
      <c r="AE44" s="377"/>
      <c r="AF44" s="377"/>
      <c r="AG44" s="377"/>
      <c r="AH44" s="377"/>
      <c r="AI44" s="377"/>
      <c r="AJ44" s="377"/>
      <c r="AK44" s="377"/>
      <c r="AL44" s="377"/>
      <c r="AM44" s="377"/>
      <c r="AN44" s="377"/>
      <c r="AO44" s="377"/>
      <c r="AP44" s="377"/>
      <c r="AQ44" s="377"/>
      <c r="AR44" s="377"/>
      <c r="AS44" s="377"/>
      <c r="AT44" s="377"/>
      <c r="AU44" s="377"/>
      <c r="AV44" s="377"/>
      <c r="AW44" s="377"/>
      <c r="AX44" s="377"/>
      <c r="AY44" s="377"/>
      <c r="AZ44" s="377"/>
      <c r="BA44" s="377"/>
      <c r="BB44" s="377"/>
      <c r="BC44" s="377"/>
      <c r="BD44" s="377"/>
      <c r="BE44" s="377"/>
      <c r="BF44" s="377"/>
      <c r="BG44" s="377"/>
      <c r="BH44" s="377"/>
      <c r="BI44" s="377"/>
      <c r="BJ44" s="316"/>
      <c r="BK44" s="316"/>
      <c r="BL44" s="316"/>
      <c r="BM44" s="316"/>
      <c r="BN44" s="316"/>
      <c r="BO44" s="316"/>
      <c r="BP44" s="316"/>
      <c r="BQ44" s="317"/>
      <c r="BR44" s="27"/>
      <c r="BS44" s="27"/>
      <c r="BT44" s="32">
        <f t="shared" si="2"/>
        <v>0</v>
      </c>
    </row>
    <row r="45" spans="1:72" s="250" customFormat="1" hidden="1">
      <c r="A45" s="431"/>
      <c r="B45" s="485"/>
      <c r="C45" s="376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  <c r="V45" s="377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  <c r="AG45" s="377"/>
      <c r="AH45" s="377"/>
      <c r="AI45" s="377"/>
      <c r="AJ45" s="377"/>
      <c r="AK45" s="377"/>
      <c r="AL45" s="377"/>
      <c r="AM45" s="377"/>
      <c r="AN45" s="377"/>
      <c r="AO45" s="377"/>
      <c r="AP45" s="377"/>
      <c r="AQ45" s="377"/>
      <c r="AR45" s="377"/>
      <c r="AS45" s="377"/>
      <c r="AT45" s="377"/>
      <c r="AU45" s="377"/>
      <c r="AV45" s="377"/>
      <c r="AW45" s="377"/>
      <c r="AX45" s="377"/>
      <c r="AY45" s="377"/>
      <c r="AZ45" s="377"/>
      <c r="BA45" s="377"/>
      <c r="BB45" s="377"/>
      <c r="BC45" s="377"/>
      <c r="BD45" s="377"/>
      <c r="BE45" s="377"/>
      <c r="BF45" s="377"/>
      <c r="BG45" s="377"/>
      <c r="BH45" s="377"/>
      <c r="BI45" s="377"/>
      <c r="BJ45" s="316"/>
      <c r="BK45" s="316"/>
      <c r="BL45" s="316"/>
      <c r="BM45" s="316"/>
      <c r="BN45" s="316"/>
      <c r="BO45" s="316"/>
      <c r="BP45" s="316"/>
      <c r="BQ45" s="317"/>
      <c r="BR45" s="27"/>
      <c r="BS45" s="27"/>
      <c r="BT45" s="32">
        <f t="shared" ref="BT45:BT56" si="3">SUM(C45:BP45)</f>
        <v>0</v>
      </c>
    </row>
    <row r="46" spans="1:72" s="250" customFormat="1" hidden="1">
      <c r="A46" s="431"/>
      <c r="B46" s="485"/>
      <c r="C46" s="376"/>
      <c r="D46" s="377"/>
      <c r="E46" s="377"/>
      <c r="F46" s="377"/>
      <c r="G46" s="377"/>
      <c r="H46" s="377"/>
      <c r="I46" s="377"/>
      <c r="J46" s="377"/>
      <c r="K46" s="377"/>
      <c r="L46" s="377"/>
      <c r="M46" s="377"/>
      <c r="N46" s="377"/>
      <c r="O46" s="377"/>
      <c r="P46" s="377"/>
      <c r="Q46" s="377"/>
      <c r="R46" s="377"/>
      <c r="S46" s="377"/>
      <c r="T46" s="377"/>
      <c r="U46" s="377"/>
      <c r="V46" s="377"/>
      <c r="W46" s="377"/>
      <c r="X46" s="377"/>
      <c r="Y46" s="377"/>
      <c r="Z46" s="377"/>
      <c r="AA46" s="377"/>
      <c r="AB46" s="377"/>
      <c r="AC46" s="377"/>
      <c r="AD46" s="377"/>
      <c r="AE46" s="377"/>
      <c r="AF46" s="377"/>
      <c r="AG46" s="377"/>
      <c r="AH46" s="377"/>
      <c r="AI46" s="377"/>
      <c r="AJ46" s="377"/>
      <c r="AK46" s="377"/>
      <c r="AL46" s="377"/>
      <c r="AM46" s="377"/>
      <c r="AN46" s="377"/>
      <c r="AO46" s="377"/>
      <c r="AP46" s="377"/>
      <c r="AQ46" s="377"/>
      <c r="AR46" s="377"/>
      <c r="AS46" s="377"/>
      <c r="AT46" s="377"/>
      <c r="AU46" s="377"/>
      <c r="AV46" s="377"/>
      <c r="AW46" s="377"/>
      <c r="AX46" s="377"/>
      <c r="AY46" s="377"/>
      <c r="AZ46" s="377"/>
      <c r="BA46" s="377"/>
      <c r="BB46" s="377"/>
      <c r="BC46" s="377"/>
      <c r="BD46" s="377"/>
      <c r="BE46" s="377"/>
      <c r="BF46" s="377"/>
      <c r="BG46" s="377"/>
      <c r="BH46" s="377"/>
      <c r="BI46" s="377"/>
      <c r="BJ46" s="316"/>
      <c r="BK46" s="316"/>
      <c r="BL46" s="316"/>
      <c r="BM46" s="316"/>
      <c r="BN46" s="316"/>
      <c r="BO46" s="316"/>
      <c r="BP46" s="316"/>
      <c r="BQ46" s="317"/>
      <c r="BR46" s="27"/>
      <c r="BS46" s="27"/>
      <c r="BT46" s="32">
        <f t="shared" si="3"/>
        <v>0</v>
      </c>
    </row>
    <row r="47" spans="1:72" s="250" customFormat="1" hidden="1">
      <c r="A47" s="431"/>
      <c r="B47" s="485"/>
      <c r="C47" s="376"/>
      <c r="D47" s="377"/>
      <c r="E47" s="377"/>
      <c r="F47" s="377"/>
      <c r="G47" s="377"/>
      <c r="H47" s="377"/>
      <c r="I47" s="377"/>
      <c r="J47" s="377"/>
      <c r="K47" s="377"/>
      <c r="L47" s="377"/>
      <c r="M47" s="377"/>
      <c r="N47" s="377"/>
      <c r="O47" s="377"/>
      <c r="P47" s="377"/>
      <c r="Q47" s="377"/>
      <c r="R47" s="377"/>
      <c r="S47" s="377"/>
      <c r="T47" s="377"/>
      <c r="U47" s="377"/>
      <c r="V47" s="377"/>
      <c r="W47" s="377"/>
      <c r="X47" s="377"/>
      <c r="Y47" s="377"/>
      <c r="Z47" s="377"/>
      <c r="AA47" s="377"/>
      <c r="AB47" s="377"/>
      <c r="AC47" s="377"/>
      <c r="AD47" s="377"/>
      <c r="AE47" s="377"/>
      <c r="AF47" s="377"/>
      <c r="AG47" s="377"/>
      <c r="AH47" s="377"/>
      <c r="AI47" s="377"/>
      <c r="AJ47" s="377"/>
      <c r="AK47" s="377"/>
      <c r="AL47" s="377"/>
      <c r="AM47" s="377"/>
      <c r="AN47" s="377"/>
      <c r="AO47" s="377"/>
      <c r="AP47" s="377"/>
      <c r="AQ47" s="377"/>
      <c r="AR47" s="377"/>
      <c r="AS47" s="377"/>
      <c r="AT47" s="377"/>
      <c r="AU47" s="377"/>
      <c r="AV47" s="377"/>
      <c r="AW47" s="377"/>
      <c r="AX47" s="377"/>
      <c r="AY47" s="377"/>
      <c r="AZ47" s="377"/>
      <c r="BA47" s="377"/>
      <c r="BB47" s="377"/>
      <c r="BC47" s="377"/>
      <c r="BD47" s="377"/>
      <c r="BE47" s="377"/>
      <c r="BF47" s="377"/>
      <c r="BG47" s="377"/>
      <c r="BH47" s="377"/>
      <c r="BI47" s="377"/>
      <c r="BJ47" s="316"/>
      <c r="BK47" s="316"/>
      <c r="BL47" s="316"/>
      <c r="BM47" s="316"/>
      <c r="BN47" s="316"/>
      <c r="BO47" s="316"/>
      <c r="BP47" s="316"/>
      <c r="BQ47" s="317" t="s">
        <v>143</v>
      </c>
      <c r="BR47" s="27"/>
      <c r="BS47" s="27"/>
      <c r="BT47" s="32">
        <f t="shared" si="3"/>
        <v>0</v>
      </c>
    </row>
    <row r="48" spans="1:72" s="250" customFormat="1" hidden="1">
      <c r="A48" s="431"/>
      <c r="B48" s="485"/>
      <c r="C48" s="376"/>
      <c r="D48" s="377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  <c r="P48" s="377"/>
      <c r="Q48" s="377"/>
      <c r="R48" s="377"/>
      <c r="S48" s="377"/>
      <c r="T48" s="377"/>
      <c r="U48" s="377"/>
      <c r="V48" s="377"/>
      <c r="W48" s="377"/>
      <c r="X48" s="377"/>
      <c r="Y48" s="377"/>
      <c r="Z48" s="377"/>
      <c r="AA48" s="377"/>
      <c r="AB48" s="377"/>
      <c r="AC48" s="377"/>
      <c r="AD48" s="377"/>
      <c r="AE48" s="377"/>
      <c r="AF48" s="377"/>
      <c r="AG48" s="377"/>
      <c r="AH48" s="377"/>
      <c r="AI48" s="377"/>
      <c r="AJ48" s="377"/>
      <c r="AK48" s="377"/>
      <c r="AL48" s="377"/>
      <c r="AM48" s="377"/>
      <c r="AN48" s="377"/>
      <c r="AO48" s="377"/>
      <c r="AP48" s="377"/>
      <c r="AQ48" s="377"/>
      <c r="AR48" s="377"/>
      <c r="AS48" s="377"/>
      <c r="AT48" s="377"/>
      <c r="AU48" s="377"/>
      <c r="AV48" s="377"/>
      <c r="AW48" s="377"/>
      <c r="AX48" s="377"/>
      <c r="AY48" s="377"/>
      <c r="AZ48" s="377"/>
      <c r="BA48" s="377"/>
      <c r="BB48" s="377"/>
      <c r="BC48" s="377"/>
      <c r="BD48" s="377"/>
      <c r="BE48" s="377"/>
      <c r="BF48" s="377"/>
      <c r="BG48" s="377"/>
      <c r="BH48" s="377"/>
      <c r="BI48" s="377"/>
      <c r="BJ48" s="316"/>
      <c r="BK48" s="316"/>
      <c r="BL48" s="316"/>
      <c r="BM48" s="316"/>
      <c r="BN48" s="316"/>
      <c r="BO48" s="316"/>
      <c r="BP48" s="316"/>
      <c r="BQ48" s="317"/>
      <c r="BR48" s="27"/>
      <c r="BS48" s="27"/>
      <c r="BT48" s="32">
        <f t="shared" si="3"/>
        <v>0</v>
      </c>
    </row>
    <row r="49" spans="1:72" s="250" customFormat="1" hidden="1">
      <c r="A49" s="431"/>
      <c r="B49" s="485"/>
      <c r="C49" s="376"/>
      <c r="D49" s="377"/>
      <c r="E49" s="377"/>
      <c r="F49" s="377"/>
      <c r="G49" s="377"/>
      <c r="H49" s="377"/>
      <c r="I49" s="377"/>
      <c r="J49" s="377"/>
      <c r="K49" s="377"/>
      <c r="L49" s="377"/>
      <c r="M49" s="377"/>
      <c r="N49" s="377"/>
      <c r="O49" s="377"/>
      <c r="P49" s="377"/>
      <c r="Q49" s="377"/>
      <c r="R49" s="377"/>
      <c r="S49" s="377"/>
      <c r="T49" s="377"/>
      <c r="U49" s="377"/>
      <c r="V49" s="377"/>
      <c r="W49" s="377"/>
      <c r="X49" s="377"/>
      <c r="Y49" s="377"/>
      <c r="Z49" s="377"/>
      <c r="AA49" s="377"/>
      <c r="AB49" s="377"/>
      <c r="AC49" s="377"/>
      <c r="AD49" s="377"/>
      <c r="AE49" s="377"/>
      <c r="AF49" s="377"/>
      <c r="AG49" s="377"/>
      <c r="AH49" s="377"/>
      <c r="AI49" s="377"/>
      <c r="AJ49" s="377"/>
      <c r="AK49" s="377"/>
      <c r="AL49" s="377"/>
      <c r="AM49" s="377"/>
      <c r="AN49" s="377"/>
      <c r="AO49" s="377"/>
      <c r="AP49" s="377"/>
      <c r="AQ49" s="377"/>
      <c r="AR49" s="377"/>
      <c r="AS49" s="377"/>
      <c r="AT49" s="377"/>
      <c r="AU49" s="377"/>
      <c r="AV49" s="377"/>
      <c r="AW49" s="377"/>
      <c r="AX49" s="377"/>
      <c r="AY49" s="377"/>
      <c r="AZ49" s="377"/>
      <c r="BA49" s="377"/>
      <c r="BB49" s="377"/>
      <c r="BC49" s="377"/>
      <c r="BD49" s="377"/>
      <c r="BE49" s="377"/>
      <c r="BF49" s="377"/>
      <c r="BG49" s="377"/>
      <c r="BH49" s="377"/>
      <c r="BI49" s="377"/>
      <c r="BJ49" s="316"/>
      <c r="BK49" s="316"/>
      <c r="BL49" s="316"/>
      <c r="BM49" s="316"/>
      <c r="BN49" s="316"/>
      <c r="BO49" s="316"/>
      <c r="BP49" s="316"/>
      <c r="BQ49" s="317"/>
      <c r="BR49" s="27"/>
      <c r="BS49" s="27"/>
      <c r="BT49" s="32">
        <f t="shared" si="3"/>
        <v>0</v>
      </c>
    </row>
    <row r="50" spans="1:72" s="250" customFormat="1" hidden="1">
      <c r="A50" s="431"/>
      <c r="B50" s="485"/>
      <c r="C50" s="376"/>
      <c r="D50" s="377"/>
      <c r="E50" s="377"/>
      <c r="F50" s="377"/>
      <c r="G50" s="377"/>
      <c r="H50" s="377"/>
      <c r="I50" s="377"/>
      <c r="J50" s="377"/>
      <c r="K50" s="377"/>
      <c r="L50" s="377"/>
      <c r="M50" s="377"/>
      <c r="N50" s="377"/>
      <c r="O50" s="377"/>
      <c r="P50" s="377"/>
      <c r="Q50" s="377"/>
      <c r="R50" s="377"/>
      <c r="S50" s="377"/>
      <c r="T50" s="377"/>
      <c r="U50" s="377"/>
      <c r="V50" s="377"/>
      <c r="W50" s="377"/>
      <c r="X50" s="377"/>
      <c r="Y50" s="377"/>
      <c r="Z50" s="377"/>
      <c r="AA50" s="377"/>
      <c r="AB50" s="377"/>
      <c r="AC50" s="377"/>
      <c r="AD50" s="377"/>
      <c r="AE50" s="377"/>
      <c r="AF50" s="377"/>
      <c r="AG50" s="377"/>
      <c r="AH50" s="377"/>
      <c r="AI50" s="377"/>
      <c r="AJ50" s="377"/>
      <c r="AK50" s="377"/>
      <c r="AL50" s="377"/>
      <c r="AM50" s="377"/>
      <c r="AN50" s="377"/>
      <c r="AO50" s="377"/>
      <c r="AP50" s="377"/>
      <c r="AQ50" s="377"/>
      <c r="AR50" s="377"/>
      <c r="AS50" s="377"/>
      <c r="AT50" s="377"/>
      <c r="AU50" s="377"/>
      <c r="AV50" s="377"/>
      <c r="AW50" s="377"/>
      <c r="AX50" s="377"/>
      <c r="AY50" s="377"/>
      <c r="AZ50" s="377"/>
      <c r="BA50" s="377"/>
      <c r="BB50" s="377"/>
      <c r="BC50" s="377"/>
      <c r="BD50" s="377"/>
      <c r="BE50" s="377"/>
      <c r="BF50" s="377"/>
      <c r="BG50" s="377"/>
      <c r="BH50" s="377"/>
      <c r="BI50" s="377"/>
      <c r="BJ50" s="316"/>
      <c r="BK50" s="316"/>
      <c r="BL50" s="316"/>
      <c r="BM50" s="316"/>
      <c r="BN50" s="316"/>
      <c r="BO50" s="316"/>
      <c r="BP50" s="316"/>
      <c r="BQ50" s="317"/>
      <c r="BR50" s="27"/>
      <c r="BS50" s="27"/>
      <c r="BT50" s="32">
        <f t="shared" si="3"/>
        <v>0</v>
      </c>
    </row>
    <row r="51" spans="1:72" s="250" customFormat="1" hidden="1">
      <c r="A51" s="431"/>
      <c r="B51" s="485"/>
      <c r="C51" s="376"/>
      <c r="D51" s="377"/>
      <c r="E51" s="377"/>
      <c r="F51" s="377"/>
      <c r="G51" s="377"/>
      <c r="H51" s="377"/>
      <c r="I51" s="377"/>
      <c r="J51" s="377"/>
      <c r="K51" s="377"/>
      <c r="L51" s="377"/>
      <c r="M51" s="377"/>
      <c r="N51" s="377"/>
      <c r="O51" s="377"/>
      <c r="P51" s="377"/>
      <c r="Q51" s="377"/>
      <c r="R51" s="377"/>
      <c r="S51" s="377"/>
      <c r="T51" s="377"/>
      <c r="U51" s="377"/>
      <c r="V51" s="377"/>
      <c r="W51" s="377"/>
      <c r="X51" s="377"/>
      <c r="Y51" s="377"/>
      <c r="Z51" s="377"/>
      <c r="AA51" s="377"/>
      <c r="AB51" s="377"/>
      <c r="AC51" s="377"/>
      <c r="AD51" s="377"/>
      <c r="AE51" s="377"/>
      <c r="AF51" s="377"/>
      <c r="AG51" s="377"/>
      <c r="AH51" s="377"/>
      <c r="AI51" s="377"/>
      <c r="AJ51" s="377"/>
      <c r="AK51" s="377"/>
      <c r="AL51" s="377"/>
      <c r="AM51" s="377"/>
      <c r="AN51" s="377"/>
      <c r="AO51" s="377"/>
      <c r="AP51" s="377"/>
      <c r="AQ51" s="377"/>
      <c r="AR51" s="377"/>
      <c r="AS51" s="377"/>
      <c r="AT51" s="377"/>
      <c r="AU51" s="377"/>
      <c r="AV51" s="377"/>
      <c r="AW51" s="377"/>
      <c r="AX51" s="377"/>
      <c r="AY51" s="377"/>
      <c r="AZ51" s="377"/>
      <c r="BA51" s="377"/>
      <c r="BB51" s="377"/>
      <c r="BC51" s="377"/>
      <c r="BD51" s="377"/>
      <c r="BE51" s="377"/>
      <c r="BF51" s="377"/>
      <c r="BG51" s="377"/>
      <c r="BH51" s="377"/>
      <c r="BI51" s="377"/>
      <c r="BJ51" s="316"/>
      <c r="BK51" s="316"/>
      <c r="BL51" s="316"/>
      <c r="BM51" s="316"/>
      <c r="BN51" s="316"/>
      <c r="BO51" s="316"/>
      <c r="BP51" s="316"/>
      <c r="BQ51" s="317"/>
      <c r="BR51" s="27"/>
      <c r="BS51" s="27"/>
      <c r="BT51" s="32">
        <f t="shared" si="3"/>
        <v>0</v>
      </c>
    </row>
    <row r="52" spans="1:72" s="250" customFormat="1" hidden="1">
      <c r="A52" s="431"/>
      <c r="B52" s="485"/>
      <c r="C52" s="376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U52" s="377"/>
      <c r="V52" s="377"/>
      <c r="W52" s="377"/>
      <c r="X52" s="377"/>
      <c r="Y52" s="377"/>
      <c r="Z52" s="377"/>
      <c r="AA52" s="377"/>
      <c r="AB52" s="377"/>
      <c r="AC52" s="377"/>
      <c r="AD52" s="377"/>
      <c r="AE52" s="377"/>
      <c r="AF52" s="377"/>
      <c r="AG52" s="377"/>
      <c r="AH52" s="377"/>
      <c r="AI52" s="377"/>
      <c r="AJ52" s="377"/>
      <c r="AK52" s="377"/>
      <c r="AL52" s="377"/>
      <c r="AM52" s="377"/>
      <c r="AN52" s="377"/>
      <c r="AO52" s="377"/>
      <c r="AP52" s="377"/>
      <c r="AQ52" s="377"/>
      <c r="AR52" s="377"/>
      <c r="AS52" s="377"/>
      <c r="AT52" s="377"/>
      <c r="AU52" s="377"/>
      <c r="AV52" s="377"/>
      <c r="AW52" s="377"/>
      <c r="AX52" s="377"/>
      <c r="AY52" s="377"/>
      <c r="AZ52" s="377"/>
      <c r="BA52" s="377"/>
      <c r="BB52" s="377"/>
      <c r="BC52" s="377"/>
      <c r="BD52" s="377"/>
      <c r="BE52" s="377"/>
      <c r="BF52" s="377"/>
      <c r="BG52" s="377"/>
      <c r="BH52" s="377"/>
      <c r="BI52" s="377"/>
      <c r="BJ52" s="316"/>
      <c r="BK52" s="316"/>
      <c r="BL52" s="316"/>
      <c r="BM52" s="316"/>
      <c r="BN52" s="316"/>
      <c r="BO52" s="316"/>
      <c r="BP52" s="316"/>
      <c r="BQ52" s="317"/>
      <c r="BR52" s="27"/>
      <c r="BS52" s="27"/>
      <c r="BT52" s="32">
        <f t="shared" si="3"/>
        <v>0</v>
      </c>
    </row>
    <row r="53" spans="1:72" s="250" customFormat="1" hidden="1">
      <c r="A53" s="431"/>
      <c r="B53" s="485"/>
      <c r="C53" s="376"/>
      <c r="D53" s="377"/>
      <c r="E53" s="377"/>
      <c r="F53" s="377"/>
      <c r="G53" s="377"/>
      <c r="H53" s="377"/>
      <c r="I53" s="377"/>
      <c r="J53" s="377"/>
      <c r="K53" s="377"/>
      <c r="L53" s="377"/>
      <c r="M53" s="377"/>
      <c r="N53" s="377"/>
      <c r="O53" s="377"/>
      <c r="P53" s="377"/>
      <c r="Q53" s="377"/>
      <c r="R53" s="377"/>
      <c r="S53" s="377"/>
      <c r="T53" s="377"/>
      <c r="U53" s="377"/>
      <c r="V53" s="377"/>
      <c r="W53" s="377"/>
      <c r="X53" s="377"/>
      <c r="Y53" s="377"/>
      <c r="Z53" s="377"/>
      <c r="AA53" s="377"/>
      <c r="AB53" s="377"/>
      <c r="AC53" s="377"/>
      <c r="AD53" s="377"/>
      <c r="AE53" s="377"/>
      <c r="AF53" s="377"/>
      <c r="AG53" s="377"/>
      <c r="AH53" s="377"/>
      <c r="AI53" s="377"/>
      <c r="AJ53" s="377"/>
      <c r="AK53" s="377"/>
      <c r="AL53" s="377"/>
      <c r="AM53" s="377"/>
      <c r="AN53" s="377"/>
      <c r="AO53" s="377"/>
      <c r="AP53" s="377"/>
      <c r="AQ53" s="377"/>
      <c r="AR53" s="377"/>
      <c r="AS53" s="377"/>
      <c r="AT53" s="377"/>
      <c r="AU53" s="377"/>
      <c r="AV53" s="377"/>
      <c r="AW53" s="377"/>
      <c r="AX53" s="377"/>
      <c r="AY53" s="377"/>
      <c r="AZ53" s="377"/>
      <c r="BA53" s="377"/>
      <c r="BB53" s="377"/>
      <c r="BC53" s="377"/>
      <c r="BD53" s="377"/>
      <c r="BE53" s="377"/>
      <c r="BF53" s="377"/>
      <c r="BG53" s="377"/>
      <c r="BH53" s="377"/>
      <c r="BI53" s="377"/>
      <c r="BJ53" s="316"/>
      <c r="BK53" s="316"/>
      <c r="BL53" s="316"/>
      <c r="BM53" s="316"/>
      <c r="BN53" s="316"/>
      <c r="BO53" s="316"/>
      <c r="BP53" s="316"/>
      <c r="BQ53" s="317"/>
      <c r="BR53" s="27"/>
      <c r="BS53" s="27"/>
      <c r="BT53" s="32">
        <f t="shared" si="3"/>
        <v>0</v>
      </c>
    </row>
    <row r="54" spans="1:72" s="250" customFormat="1" hidden="1">
      <c r="A54" s="751"/>
      <c r="B54" s="752"/>
      <c r="C54" s="753"/>
      <c r="D54" s="754"/>
      <c r="E54" s="754"/>
      <c r="F54" s="754"/>
      <c r="G54" s="754"/>
      <c r="H54" s="754"/>
      <c r="I54" s="754"/>
      <c r="J54" s="754"/>
      <c r="K54" s="754"/>
      <c r="L54" s="754"/>
      <c r="M54" s="754"/>
      <c r="N54" s="754"/>
      <c r="O54" s="754"/>
      <c r="P54" s="754"/>
      <c r="Q54" s="754"/>
      <c r="R54" s="754"/>
      <c r="S54" s="754"/>
      <c r="T54" s="754"/>
      <c r="U54" s="754"/>
      <c r="V54" s="754"/>
      <c r="W54" s="754"/>
      <c r="X54" s="754"/>
      <c r="Y54" s="754"/>
      <c r="Z54" s="754"/>
      <c r="AA54" s="754"/>
      <c r="AB54" s="754"/>
      <c r="AC54" s="754"/>
      <c r="AD54" s="754"/>
      <c r="AE54" s="754"/>
      <c r="AF54" s="754"/>
      <c r="AG54" s="754"/>
      <c r="AH54" s="754"/>
      <c r="AI54" s="754"/>
      <c r="AJ54" s="754"/>
      <c r="AK54" s="754"/>
      <c r="AL54" s="754"/>
      <c r="AM54" s="754"/>
      <c r="AN54" s="754"/>
      <c r="AO54" s="754"/>
      <c r="AP54" s="754"/>
      <c r="AQ54" s="754"/>
      <c r="AR54" s="754"/>
      <c r="AS54" s="754"/>
      <c r="AT54" s="754"/>
      <c r="AU54" s="754"/>
      <c r="AV54" s="754"/>
      <c r="AW54" s="754"/>
      <c r="AX54" s="754"/>
      <c r="AY54" s="754"/>
      <c r="AZ54" s="754"/>
      <c r="BA54" s="754"/>
      <c r="BB54" s="754"/>
      <c r="BC54" s="754"/>
      <c r="BD54" s="754"/>
      <c r="BE54" s="754"/>
      <c r="BF54" s="754"/>
      <c r="BG54" s="754"/>
      <c r="BH54" s="754"/>
      <c r="BI54" s="754"/>
      <c r="BJ54" s="755"/>
      <c r="BK54" s="755"/>
      <c r="BL54" s="755"/>
      <c r="BM54" s="755"/>
      <c r="BN54" s="755"/>
      <c r="BO54" s="755"/>
      <c r="BP54" s="755"/>
      <c r="BQ54" s="756"/>
      <c r="BR54" s="27"/>
      <c r="BS54" s="27"/>
      <c r="BT54" s="32">
        <f t="shared" si="3"/>
        <v>0</v>
      </c>
    </row>
    <row r="55" spans="1:72" s="250" customFormat="1" ht="7.5" hidden="1" thickBot="1">
      <c r="A55" s="757"/>
      <c r="B55" s="758"/>
      <c r="C55" s="759"/>
      <c r="D55" s="760"/>
      <c r="E55" s="761"/>
      <c r="F55" s="761"/>
      <c r="G55" s="761"/>
      <c r="H55" s="761"/>
      <c r="I55" s="761"/>
      <c r="J55" s="761"/>
      <c r="K55" s="761"/>
      <c r="L55" s="761"/>
      <c r="M55" s="761"/>
      <c r="N55" s="761"/>
      <c r="O55" s="761"/>
      <c r="P55" s="761"/>
      <c r="Q55" s="761"/>
      <c r="R55" s="761"/>
      <c r="S55" s="760"/>
      <c r="T55" s="761"/>
      <c r="U55" s="761"/>
      <c r="V55" s="761"/>
      <c r="W55" s="761"/>
      <c r="X55" s="761"/>
      <c r="Y55" s="761"/>
      <c r="Z55" s="761"/>
      <c r="AA55" s="761"/>
      <c r="AB55" s="761"/>
      <c r="AC55" s="761"/>
      <c r="AD55" s="761"/>
      <c r="AE55" s="761"/>
      <c r="AF55" s="761"/>
      <c r="AG55" s="761"/>
      <c r="AH55" s="761"/>
      <c r="AI55" s="761"/>
      <c r="AJ55" s="761"/>
      <c r="AK55" s="761"/>
      <c r="AL55" s="761"/>
      <c r="AM55" s="761"/>
      <c r="AN55" s="761"/>
      <c r="AO55" s="761"/>
      <c r="AP55" s="761"/>
      <c r="AQ55" s="761"/>
      <c r="AR55" s="761"/>
      <c r="AS55" s="761"/>
      <c r="AT55" s="761"/>
      <c r="AU55" s="761"/>
      <c r="AV55" s="761"/>
      <c r="AW55" s="761"/>
      <c r="AX55" s="761"/>
      <c r="AY55" s="761"/>
      <c r="AZ55" s="761"/>
      <c r="BA55" s="761"/>
      <c r="BB55" s="761"/>
      <c r="BC55" s="761"/>
      <c r="BD55" s="761"/>
      <c r="BE55" s="761"/>
      <c r="BF55" s="761"/>
      <c r="BG55" s="761"/>
      <c r="BH55" s="761"/>
      <c r="BI55" s="761"/>
      <c r="BJ55" s="762"/>
      <c r="BK55" s="762"/>
      <c r="BL55" s="762"/>
      <c r="BM55" s="762"/>
      <c r="BN55" s="762"/>
      <c r="BO55" s="762"/>
      <c r="BP55" s="762"/>
      <c r="BQ55" s="763"/>
      <c r="BR55" s="27"/>
      <c r="BS55" s="27"/>
      <c r="BT55" s="32">
        <f t="shared" si="3"/>
        <v>0</v>
      </c>
    </row>
    <row r="56" spans="1:72" s="250" customFormat="1" ht="11.5" thickTop="1" thickBot="1">
      <c r="B56" s="764" t="s">
        <v>76</v>
      </c>
      <c r="C56" s="765">
        <f t="shared" ref="C56:AH56" si="4">SUM(C5:C55)</f>
        <v>0</v>
      </c>
      <c r="D56" s="766">
        <f t="shared" si="4"/>
        <v>0</v>
      </c>
      <c r="E56" s="767">
        <f t="shared" si="4"/>
        <v>0</v>
      </c>
      <c r="F56" s="767">
        <f t="shared" si="4"/>
        <v>0</v>
      </c>
      <c r="G56" s="767">
        <f t="shared" si="4"/>
        <v>0</v>
      </c>
      <c r="H56" s="767">
        <f t="shared" si="4"/>
        <v>176.72</v>
      </c>
      <c r="I56" s="767">
        <f t="shared" si="4"/>
        <v>75.539999999999992</v>
      </c>
      <c r="J56" s="767">
        <f t="shared" si="4"/>
        <v>0</v>
      </c>
      <c r="K56" s="767">
        <f t="shared" si="4"/>
        <v>612.03</v>
      </c>
      <c r="L56" s="767">
        <f t="shared" si="4"/>
        <v>55</v>
      </c>
      <c r="M56" s="767">
        <f t="shared" si="4"/>
        <v>62.04</v>
      </c>
      <c r="N56" s="767">
        <f t="shared" si="4"/>
        <v>0</v>
      </c>
      <c r="O56" s="767">
        <f t="shared" si="4"/>
        <v>62.43</v>
      </c>
      <c r="P56" s="767">
        <f t="shared" si="4"/>
        <v>7.07</v>
      </c>
      <c r="Q56" s="767">
        <f t="shared" si="4"/>
        <v>0</v>
      </c>
      <c r="R56" s="767">
        <f t="shared" si="4"/>
        <v>68</v>
      </c>
      <c r="S56" s="766">
        <f t="shared" si="4"/>
        <v>310</v>
      </c>
      <c r="T56" s="767">
        <f t="shared" si="4"/>
        <v>0</v>
      </c>
      <c r="U56" s="767">
        <f t="shared" si="4"/>
        <v>0</v>
      </c>
      <c r="V56" s="767">
        <f t="shared" si="4"/>
        <v>0</v>
      </c>
      <c r="W56" s="767">
        <f t="shared" si="4"/>
        <v>0</v>
      </c>
      <c r="X56" s="767">
        <f t="shared" si="4"/>
        <v>0</v>
      </c>
      <c r="Y56" s="767">
        <f t="shared" si="4"/>
        <v>0</v>
      </c>
      <c r="Z56" s="767">
        <f t="shared" si="4"/>
        <v>0</v>
      </c>
      <c r="AA56" s="767">
        <f t="shared" si="4"/>
        <v>0</v>
      </c>
      <c r="AB56" s="767">
        <f t="shared" si="4"/>
        <v>0</v>
      </c>
      <c r="AC56" s="767">
        <f t="shared" si="4"/>
        <v>0</v>
      </c>
      <c r="AD56" s="767">
        <f t="shared" si="4"/>
        <v>0</v>
      </c>
      <c r="AE56" s="767">
        <f t="shared" si="4"/>
        <v>0</v>
      </c>
      <c r="AF56" s="767">
        <f t="shared" si="4"/>
        <v>0</v>
      </c>
      <c r="AG56" s="767">
        <f t="shared" si="4"/>
        <v>0</v>
      </c>
      <c r="AH56" s="767">
        <f t="shared" si="4"/>
        <v>0</v>
      </c>
      <c r="AI56" s="767">
        <f t="shared" ref="AI56:BN56" si="5">SUM(AI5:AI55)</f>
        <v>0</v>
      </c>
      <c r="AJ56" s="767">
        <f t="shared" si="5"/>
        <v>0</v>
      </c>
      <c r="AK56" s="767">
        <f t="shared" si="5"/>
        <v>0</v>
      </c>
      <c r="AL56" s="767">
        <f t="shared" si="5"/>
        <v>0</v>
      </c>
      <c r="AM56" s="767">
        <f t="shared" si="5"/>
        <v>0</v>
      </c>
      <c r="AN56" s="767">
        <f t="shared" si="5"/>
        <v>2.7</v>
      </c>
      <c r="AO56" s="767">
        <f t="shared" si="5"/>
        <v>0</v>
      </c>
      <c r="AP56" s="767">
        <f t="shared" si="5"/>
        <v>0</v>
      </c>
      <c r="AQ56" s="767">
        <f t="shared" si="5"/>
        <v>0</v>
      </c>
      <c r="AR56" s="767">
        <f t="shared" si="5"/>
        <v>0</v>
      </c>
      <c r="AS56" s="767">
        <f t="shared" si="5"/>
        <v>0</v>
      </c>
      <c r="AT56" s="767">
        <f t="shared" si="5"/>
        <v>0</v>
      </c>
      <c r="AU56" s="767">
        <f t="shared" si="5"/>
        <v>0</v>
      </c>
      <c r="AV56" s="767">
        <f t="shared" si="5"/>
        <v>0</v>
      </c>
      <c r="AW56" s="767">
        <f t="shared" si="5"/>
        <v>0</v>
      </c>
      <c r="AX56" s="767">
        <f t="shared" si="5"/>
        <v>0</v>
      </c>
      <c r="AY56" s="767">
        <f t="shared" si="5"/>
        <v>588</v>
      </c>
      <c r="AZ56" s="767">
        <f t="shared" si="5"/>
        <v>0</v>
      </c>
      <c r="BA56" s="767">
        <f t="shared" si="5"/>
        <v>0</v>
      </c>
      <c r="BB56" s="767">
        <f t="shared" si="5"/>
        <v>0</v>
      </c>
      <c r="BC56" s="767">
        <f t="shared" si="5"/>
        <v>68</v>
      </c>
      <c r="BD56" s="767">
        <f t="shared" si="5"/>
        <v>0</v>
      </c>
      <c r="BE56" s="767">
        <f t="shared" si="5"/>
        <v>0</v>
      </c>
      <c r="BF56" s="767">
        <f t="shared" si="5"/>
        <v>0</v>
      </c>
      <c r="BG56" s="767">
        <f t="shared" si="5"/>
        <v>0</v>
      </c>
      <c r="BH56" s="767">
        <f t="shared" si="5"/>
        <v>0</v>
      </c>
      <c r="BI56" s="767">
        <f t="shared" si="5"/>
        <v>0</v>
      </c>
      <c r="BJ56" s="767">
        <f t="shared" si="5"/>
        <v>0</v>
      </c>
      <c r="BK56" s="767">
        <f t="shared" si="5"/>
        <v>0</v>
      </c>
      <c r="BL56" s="767">
        <f t="shared" si="5"/>
        <v>0</v>
      </c>
      <c r="BM56" s="767">
        <f t="shared" si="5"/>
        <v>0</v>
      </c>
      <c r="BN56" s="767">
        <f t="shared" si="5"/>
        <v>0</v>
      </c>
      <c r="BO56" s="767">
        <f>SUM(BO5:BO55)</f>
        <v>0</v>
      </c>
      <c r="BP56" s="767">
        <f>SUM(BP5:BP55)</f>
        <v>0</v>
      </c>
      <c r="BQ56" s="768"/>
      <c r="BR56" s="27"/>
      <c r="BS56" s="27"/>
      <c r="BT56" s="32">
        <f t="shared" si="3"/>
        <v>2087.5299999999997</v>
      </c>
    </row>
    <row r="57" spans="1:72" s="250" customFormat="1" ht="7.5" thickTop="1">
      <c r="B57" s="251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7"/>
      <c r="BR57" s="27"/>
      <c r="BS57" s="27"/>
      <c r="BT57" s="29"/>
    </row>
    <row r="58" spans="1:72" s="250" customFormat="1">
      <c r="B58" s="252"/>
    </row>
    <row r="59" spans="1:72" s="250" customFormat="1" hidden="1">
      <c r="B59" s="252"/>
      <c r="C59" s="205" t="str">
        <f t="shared" ref="C59:AG59" si="6">IF(SUM(C5:C56)=0,"HIDE","")</f>
        <v>HIDE</v>
      </c>
      <c r="D59" s="205" t="str">
        <f t="shared" si="6"/>
        <v>HIDE</v>
      </c>
      <c r="E59" s="205" t="str">
        <f t="shared" si="6"/>
        <v>HIDE</v>
      </c>
      <c r="F59" s="205" t="str">
        <f t="shared" si="6"/>
        <v>HIDE</v>
      </c>
      <c r="G59" s="205" t="str">
        <f t="shared" si="6"/>
        <v>HIDE</v>
      </c>
      <c r="H59" s="205" t="str">
        <f t="shared" si="6"/>
        <v/>
      </c>
      <c r="I59" s="205" t="str">
        <f t="shared" si="6"/>
        <v/>
      </c>
      <c r="J59" s="205" t="str">
        <f t="shared" si="6"/>
        <v>HIDE</v>
      </c>
      <c r="K59" s="205" t="str">
        <f t="shared" si="6"/>
        <v/>
      </c>
      <c r="L59" s="205" t="str">
        <f t="shared" si="6"/>
        <v/>
      </c>
      <c r="M59" s="205" t="str">
        <f t="shared" si="6"/>
        <v/>
      </c>
      <c r="N59" s="205" t="str">
        <f t="shared" si="6"/>
        <v>HIDE</v>
      </c>
      <c r="O59" s="205" t="str">
        <f t="shared" si="6"/>
        <v/>
      </c>
      <c r="P59" s="205" t="str">
        <f t="shared" si="6"/>
        <v/>
      </c>
      <c r="Q59" s="205" t="str">
        <f t="shared" si="6"/>
        <v>HIDE</v>
      </c>
      <c r="R59" s="205" t="str">
        <f t="shared" si="6"/>
        <v/>
      </c>
      <c r="S59" s="205" t="str">
        <f t="shared" si="6"/>
        <v/>
      </c>
      <c r="T59" s="205" t="str">
        <f t="shared" si="6"/>
        <v>HIDE</v>
      </c>
      <c r="U59" s="205" t="str">
        <f t="shared" si="6"/>
        <v>HIDE</v>
      </c>
      <c r="V59" s="205" t="str">
        <f t="shared" si="6"/>
        <v>HIDE</v>
      </c>
      <c r="W59" s="205" t="str">
        <f t="shared" si="6"/>
        <v>HIDE</v>
      </c>
      <c r="X59" s="205" t="str">
        <f t="shared" si="6"/>
        <v>HIDE</v>
      </c>
      <c r="Y59" s="205" t="str">
        <f t="shared" si="6"/>
        <v>HIDE</v>
      </c>
      <c r="Z59" s="205" t="str">
        <f t="shared" si="6"/>
        <v>HIDE</v>
      </c>
      <c r="AA59" s="205" t="str">
        <f t="shared" si="6"/>
        <v>HIDE</v>
      </c>
      <c r="AB59" s="205" t="str">
        <f t="shared" si="6"/>
        <v>HIDE</v>
      </c>
      <c r="AC59" s="205" t="str">
        <f t="shared" si="6"/>
        <v>HIDE</v>
      </c>
      <c r="AD59" s="205" t="str">
        <f t="shared" si="6"/>
        <v>HIDE</v>
      </c>
      <c r="AE59" s="205" t="str">
        <f t="shared" si="6"/>
        <v>HIDE</v>
      </c>
      <c r="AF59" s="205" t="str">
        <f t="shared" si="6"/>
        <v>HIDE</v>
      </c>
      <c r="AG59" s="205" t="str">
        <f t="shared" si="6"/>
        <v>HIDE</v>
      </c>
      <c r="AH59" s="205" t="str">
        <f t="shared" ref="AH59:BP59" si="7">IF(SUM(AH5:AH56)=0,"HIDE","")</f>
        <v>HIDE</v>
      </c>
      <c r="AI59" s="205" t="str">
        <f t="shared" si="7"/>
        <v>HIDE</v>
      </c>
      <c r="AJ59" s="205" t="str">
        <f t="shared" si="7"/>
        <v>HIDE</v>
      </c>
      <c r="AK59" s="205" t="str">
        <f t="shared" si="7"/>
        <v>HIDE</v>
      </c>
      <c r="AL59" s="205" t="str">
        <f t="shared" si="7"/>
        <v>HIDE</v>
      </c>
      <c r="AM59" s="205" t="str">
        <f t="shared" si="7"/>
        <v>HIDE</v>
      </c>
      <c r="AN59" s="205" t="str">
        <f t="shared" si="7"/>
        <v/>
      </c>
      <c r="AO59" s="205" t="str">
        <f t="shared" si="7"/>
        <v>HIDE</v>
      </c>
      <c r="AP59" s="205" t="str">
        <f t="shared" si="7"/>
        <v>HIDE</v>
      </c>
      <c r="AQ59" s="205" t="str">
        <f t="shared" si="7"/>
        <v>HIDE</v>
      </c>
      <c r="AR59" s="205" t="str">
        <f t="shared" si="7"/>
        <v>HIDE</v>
      </c>
      <c r="AS59" s="205" t="str">
        <f t="shared" si="7"/>
        <v>HIDE</v>
      </c>
      <c r="AT59" s="205" t="str">
        <f t="shared" si="7"/>
        <v>HIDE</v>
      </c>
      <c r="AU59" s="205" t="str">
        <f t="shared" si="7"/>
        <v>HIDE</v>
      </c>
      <c r="AV59" s="205" t="str">
        <f t="shared" si="7"/>
        <v>HIDE</v>
      </c>
      <c r="AW59" s="205" t="str">
        <f t="shared" si="7"/>
        <v>HIDE</v>
      </c>
      <c r="AX59" s="205" t="str">
        <f t="shared" si="7"/>
        <v>HIDE</v>
      </c>
      <c r="AY59" s="205" t="str">
        <f t="shared" si="7"/>
        <v/>
      </c>
      <c r="AZ59" s="205" t="str">
        <f t="shared" si="7"/>
        <v>HIDE</v>
      </c>
      <c r="BA59" s="205" t="str">
        <f t="shared" si="7"/>
        <v>HIDE</v>
      </c>
      <c r="BB59" s="205" t="str">
        <f t="shared" si="7"/>
        <v>HIDE</v>
      </c>
      <c r="BC59" s="205" t="str">
        <f t="shared" si="7"/>
        <v/>
      </c>
      <c r="BD59" s="205" t="str">
        <f t="shared" si="7"/>
        <v>HIDE</v>
      </c>
      <c r="BE59" s="205" t="str">
        <f>IF(SUM(BE5:BE56)=0,"HIDE","")</f>
        <v>HIDE</v>
      </c>
      <c r="BF59" s="205" t="str">
        <f>IF(SUM(BF5:BF56)=0,"HIDE","")</f>
        <v>HIDE</v>
      </c>
      <c r="BG59" s="205" t="str">
        <f t="shared" si="7"/>
        <v>HIDE</v>
      </c>
      <c r="BH59" s="205" t="str">
        <f t="shared" si="7"/>
        <v>HIDE</v>
      </c>
      <c r="BI59" s="205" t="str">
        <f t="shared" si="7"/>
        <v>HIDE</v>
      </c>
      <c r="BJ59" s="205" t="str">
        <f t="shared" si="7"/>
        <v>HIDE</v>
      </c>
      <c r="BK59" s="205" t="str">
        <f t="shared" si="7"/>
        <v>HIDE</v>
      </c>
      <c r="BL59" s="205" t="str">
        <f t="shared" si="7"/>
        <v>HIDE</v>
      </c>
      <c r="BM59" s="205" t="str">
        <f t="shared" si="7"/>
        <v>HIDE</v>
      </c>
      <c r="BN59" s="205" t="str">
        <f t="shared" si="7"/>
        <v>HIDE</v>
      </c>
      <c r="BO59" s="205" t="str">
        <f t="shared" si="7"/>
        <v>HIDE</v>
      </c>
      <c r="BP59" s="205" t="str">
        <f t="shared" si="7"/>
        <v>HIDE</v>
      </c>
      <c r="BQ59" s="205"/>
      <c r="BR59" s="205"/>
      <c r="BT59" s="250">
        <f>SUM(BT5:BT55)</f>
        <v>2087.5300000000002</v>
      </c>
    </row>
    <row r="60" spans="1:72" s="250" customFormat="1" ht="14" hidden="1">
      <c r="B60" s="253" t="s">
        <v>94</v>
      </c>
      <c r="C60" s="205"/>
    </row>
    <row r="61" spans="1:72" s="250" customFormat="1">
      <c r="B61" s="252"/>
    </row>
    <row r="66" spans="1:72" s="250" customFormat="1">
      <c r="B66" s="252"/>
      <c r="C66" s="205" t="str">
        <f t="shared" ref="C66:AG66" si="8">IF(SUM(C5:C63)=0,"HIDE","")</f>
        <v>HIDE</v>
      </c>
      <c r="D66" s="205" t="str">
        <f t="shared" si="8"/>
        <v>HIDE</v>
      </c>
      <c r="E66" s="205" t="str">
        <f t="shared" si="8"/>
        <v>HIDE</v>
      </c>
      <c r="F66" s="205" t="str">
        <f t="shared" si="8"/>
        <v>HIDE</v>
      </c>
      <c r="G66" s="205" t="str">
        <f t="shared" si="8"/>
        <v>HIDE</v>
      </c>
      <c r="H66" s="205" t="str">
        <f t="shared" si="8"/>
        <v/>
      </c>
      <c r="I66" s="205" t="str">
        <f t="shared" si="8"/>
        <v/>
      </c>
      <c r="J66" s="205" t="str">
        <f t="shared" si="8"/>
        <v>HIDE</v>
      </c>
      <c r="K66" s="205" t="str">
        <f t="shared" si="8"/>
        <v/>
      </c>
      <c r="L66" s="205" t="str">
        <f t="shared" si="8"/>
        <v/>
      </c>
      <c r="M66" s="205" t="str">
        <f t="shared" si="8"/>
        <v/>
      </c>
      <c r="N66" s="205" t="str">
        <f t="shared" si="8"/>
        <v>HIDE</v>
      </c>
      <c r="O66" s="205" t="str">
        <f t="shared" si="8"/>
        <v/>
      </c>
      <c r="P66" s="205" t="str">
        <f t="shared" si="8"/>
        <v/>
      </c>
      <c r="Q66" s="205" t="str">
        <f t="shared" si="8"/>
        <v>HIDE</v>
      </c>
      <c r="R66" s="205" t="str">
        <f t="shared" si="8"/>
        <v/>
      </c>
      <c r="S66" s="205" t="str">
        <f t="shared" si="8"/>
        <v/>
      </c>
      <c r="T66" s="205" t="str">
        <f t="shared" si="8"/>
        <v>HIDE</v>
      </c>
      <c r="U66" s="205" t="str">
        <f t="shared" si="8"/>
        <v>HIDE</v>
      </c>
      <c r="V66" s="205" t="str">
        <f t="shared" si="8"/>
        <v>HIDE</v>
      </c>
      <c r="W66" s="205" t="str">
        <f t="shared" si="8"/>
        <v>HIDE</v>
      </c>
      <c r="X66" s="205" t="str">
        <f t="shared" si="8"/>
        <v>HIDE</v>
      </c>
      <c r="Y66" s="205" t="str">
        <f t="shared" si="8"/>
        <v>HIDE</v>
      </c>
      <c r="Z66" s="205" t="str">
        <f t="shared" si="8"/>
        <v>HIDE</v>
      </c>
      <c r="AA66" s="205" t="str">
        <f t="shared" si="8"/>
        <v>HIDE</v>
      </c>
      <c r="AB66" s="205" t="str">
        <f t="shared" si="8"/>
        <v>HIDE</v>
      </c>
      <c r="AC66" s="205" t="str">
        <f t="shared" si="8"/>
        <v>HIDE</v>
      </c>
      <c r="AD66" s="205" t="str">
        <f t="shared" si="8"/>
        <v>HIDE</v>
      </c>
      <c r="AE66" s="205" t="str">
        <f t="shared" si="8"/>
        <v>HIDE</v>
      </c>
      <c r="AF66" s="205" t="str">
        <f t="shared" si="8"/>
        <v>HIDE</v>
      </c>
      <c r="AG66" s="205" t="str">
        <f t="shared" si="8"/>
        <v>HIDE</v>
      </c>
      <c r="AH66" s="205" t="str">
        <f t="shared" ref="AH66:BP66" si="9">IF(SUM(AH5:AH63)=0,"HIDE","")</f>
        <v>HIDE</v>
      </c>
      <c r="AI66" s="205" t="str">
        <f t="shared" si="9"/>
        <v>HIDE</v>
      </c>
      <c r="AJ66" s="205" t="str">
        <f t="shared" si="9"/>
        <v>HIDE</v>
      </c>
      <c r="AK66" s="205" t="str">
        <f t="shared" si="9"/>
        <v>HIDE</v>
      </c>
      <c r="AL66" s="205" t="str">
        <f t="shared" si="9"/>
        <v>HIDE</v>
      </c>
      <c r="AM66" s="205" t="str">
        <f t="shared" si="9"/>
        <v>HIDE</v>
      </c>
      <c r="AN66" s="205" t="str">
        <f t="shared" si="9"/>
        <v/>
      </c>
      <c r="AO66" s="205" t="str">
        <f t="shared" si="9"/>
        <v>HIDE</v>
      </c>
      <c r="AP66" s="205" t="str">
        <f t="shared" si="9"/>
        <v>HIDE</v>
      </c>
      <c r="AQ66" s="205" t="str">
        <f t="shared" si="9"/>
        <v>HIDE</v>
      </c>
      <c r="AR66" s="205" t="str">
        <f t="shared" si="9"/>
        <v>HIDE</v>
      </c>
      <c r="AS66" s="205" t="str">
        <f t="shared" si="9"/>
        <v>HIDE</v>
      </c>
      <c r="AT66" s="205" t="str">
        <f t="shared" si="9"/>
        <v>HIDE</v>
      </c>
      <c r="AU66" s="205" t="str">
        <f t="shared" si="9"/>
        <v>HIDE</v>
      </c>
      <c r="AV66" s="205" t="str">
        <f t="shared" si="9"/>
        <v>HIDE</v>
      </c>
      <c r="AW66" s="205" t="str">
        <f t="shared" si="9"/>
        <v>HIDE</v>
      </c>
      <c r="AX66" s="205" t="str">
        <f t="shared" si="9"/>
        <v>HIDE</v>
      </c>
      <c r="AY66" s="205" t="str">
        <f t="shared" si="9"/>
        <v/>
      </c>
      <c r="AZ66" s="205" t="str">
        <f t="shared" si="9"/>
        <v>HIDE</v>
      </c>
      <c r="BA66" s="205" t="str">
        <f t="shared" si="9"/>
        <v>HIDE</v>
      </c>
      <c r="BB66" s="205" t="str">
        <f t="shared" si="9"/>
        <v>HIDE</v>
      </c>
      <c r="BC66" s="205" t="str">
        <f t="shared" si="9"/>
        <v/>
      </c>
      <c r="BD66" s="205" t="str">
        <f t="shared" si="9"/>
        <v>HIDE</v>
      </c>
      <c r="BE66" s="205" t="str">
        <f>IF(SUM(BE5:BE63)=0,"HIDE","")</f>
        <v>HIDE</v>
      </c>
      <c r="BF66" s="205" t="str">
        <f>IF(SUM(BF5:BF63)=0,"HIDE","")</f>
        <v>HIDE</v>
      </c>
      <c r="BG66" s="205" t="str">
        <f t="shared" si="9"/>
        <v>HIDE</v>
      </c>
      <c r="BH66" s="205" t="str">
        <f t="shared" si="9"/>
        <v>HIDE</v>
      </c>
      <c r="BI66" s="205" t="str">
        <f t="shared" si="9"/>
        <v>HIDE</v>
      </c>
      <c r="BJ66" s="205" t="str">
        <f t="shared" si="9"/>
        <v>HIDE</v>
      </c>
      <c r="BK66" s="205" t="str">
        <f t="shared" si="9"/>
        <v>HIDE</v>
      </c>
      <c r="BL66" s="205" t="str">
        <f t="shared" si="9"/>
        <v>HIDE</v>
      </c>
      <c r="BM66" s="205" t="str">
        <f t="shared" si="9"/>
        <v>HIDE</v>
      </c>
      <c r="BN66" s="205" t="str">
        <f t="shared" si="9"/>
        <v>HIDE</v>
      </c>
      <c r="BO66" s="205" t="str">
        <f t="shared" si="9"/>
        <v>HIDE</v>
      </c>
      <c r="BP66" s="205" t="str">
        <f t="shared" si="9"/>
        <v>HIDE</v>
      </c>
      <c r="BQ66" s="205"/>
      <c r="BR66" s="205"/>
      <c r="BT66" s="250">
        <f>SUM(BT5:BT62)</f>
        <v>6262.59</v>
      </c>
    </row>
    <row r="67" spans="1:72" s="250" customFormat="1" ht="14">
      <c r="B67" s="253" t="s">
        <v>94</v>
      </c>
      <c r="C67" s="205"/>
    </row>
    <row r="71" spans="1:72">
      <c r="A71"/>
    </row>
    <row r="89" spans="1:72">
      <c r="A89"/>
      <c r="B89" s="10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</row>
    <row r="90" spans="1:72">
      <c r="A90"/>
      <c r="B90" s="10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</row>
    <row r="91" spans="1:72">
      <c r="A91"/>
      <c r="B91" s="10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</row>
  </sheetData>
  <phoneticPr fontId="9" type="noConversion"/>
  <pageMargins left="0.35433070866141736" right="0.35433070866141736" top="0.19685039370078741" bottom="0.27559055118110237" header="0" footer="0.27559055118110237"/>
  <pageSetup paperSize="9" scale="125" orientation="landscape" verticalDpi="4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S86"/>
  <sheetViews>
    <sheetView showZeros="0" zoomScale="130" zoomScaleNormal="130" workbookViewId="0">
      <pane xSplit="1" topLeftCell="B1" activePane="topRight" state="frozen"/>
      <selection activeCell="R6" sqref="R6"/>
      <selection pane="topRight" activeCell="BR84" sqref="BR84"/>
    </sheetView>
  </sheetViews>
  <sheetFormatPr defaultRowHeight="7"/>
  <cols>
    <col min="1" max="1" width="51" style="115" customWidth="1"/>
    <col min="2" max="2" width="10.83203125" hidden="1" customWidth="1"/>
    <col min="3" max="5" width="11" hidden="1" customWidth="1"/>
    <col min="6" max="6" width="10.83203125" hidden="1" customWidth="1"/>
    <col min="7" max="8" width="10.83203125" customWidth="1"/>
    <col min="9" max="13" width="10.83203125" hidden="1" customWidth="1"/>
    <col min="14" max="17" width="10.83203125" customWidth="1"/>
    <col min="18" max="40" width="10.83203125" hidden="1" customWidth="1"/>
    <col min="41" max="41" width="10.83203125" customWidth="1"/>
    <col min="42" max="52" width="10.83203125" hidden="1" customWidth="1"/>
    <col min="53" max="53" width="10.83203125" customWidth="1"/>
    <col min="54" max="67" width="10.83203125" hidden="1" customWidth="1"/>
    <col min="68" max="68" width="11" hidden="1" customWidth="1"/>
    <col min="69" max="69" width="41.6640625" customWidth="1"/>
  </cols>
  <sheetData>
    <row r="1" spans="1:71" s="1" customFormat="1" ht="35">
      <c r="A1" s="188" t="str">
        <f>Summary!$A$2</f>
        <v>OLYMPIC 2024 FINAL ACCOUNTS</v>
      </c>
      <c r="BQ1" s="614" t="str">
        <f>Summary!$T$2</f>
        <v>25 January 2025</v>
      </c>
    </row>
    <row r="2" spans="1:71" s="1" customFormat="1" ht="27.5">
      <c r="A2" s="192" t="s">
        <v>96</v>
      </c>
      <c r="S2" s="190"/>
    </row>
    <row r="3" spans="1:71" s="788" customFormat="1" ht="11" thickBot="1">
      <c r="A3" s="787"/>
      <c r="H3" s="789"/>
      <c r="S3" s="790"/>
    </row>
    <row r="4" spans="1:71" s="58" customFormat="1" ht="11" thickTop="1">
      <c r="A4" s="207" t="s">
        <v>48</v>
      </c>
      <c r="B4" s="18" t="str">
        <f>MAINTENANCE!C3</f>
        <v>Insurance</v>
      </c>
      <c r="C4" s="13" t="str">
        <f>MAINTENANCE!D3</f>
        <v>Licence</v>
      </c>
      <c r="D4" s="18" t="str">
        <f>MAINTENANCE!E3</f>
        <v>Mooring</v>
      </c>
      <c r="E4" s="18" t="str">
        <f>MAINTENANCE!F3</f>
        <v>RCR</v>
      </c>
      <c r="F4" s="18" t="str">
        <f>MAINTENANCE!G3</f>
        <v>DRK</v>
      </c>
      <c r="G4" s="18" t="str">
        <f>MAINTENANCE!H3</f>
        <v>DRK</v>
      </c>
      <c r="H4" s="18" t="str">
        <f>MAINTENANCE!I3</f>
        <v>DRK</v>
      </c>
      <c r="I4" s="18" t="str">
        <f>MAINTENANCE!J3</f>
        <v>DRK</v>
      </c>
      <c r="J4" s="18" t="str">
        <f>MAINTENANCE!K3</f>
        <v>Atlass</v>
      </c>
      <c r="K4" s="18" t="str">
        <f>MAINTENANCE!L3</f>
        <v>DRK</v>
      </c>
      <c r="L4" s="18" t="str">
        <f>MAINTENANCE!M3</f>
        <v>SB</v>
      </c>
      <c r="M4" s="18" t="str">
        <f>MAINTENANCE!N3</f>
        <v>James</v>
      </c>
      <c r="N4" s="18" t="str">
        <f>MAINTENANCE!O3</f>
        <v>PB</v>
      </c>
      <c r="O4" s="18" t="str">
        <f>MAINTENANCE!P3</f>
        <v>Atlass</v>
      </c>
      <c r="P4" s="18" t="str">
        <f>MAINTENANCE!Q3</f>
        <v>RCR</v>
      </c>
      <c r="Q4" s="18" t="str">
        <f>MAINTENANCE!R3</f>
        <v>DRK</v>
      </c>
      <c r="R4" s="18" t="str">
        <f>MAINTENANCE!S3</f>
        <v>DRK</v>
      </c>
      <c r="S4" s="18" t="str">
        <f>MAINTENANCE!T3</f>
        <v>Atlass</v>
      </c>
      <c r="T4" s="18" t="str">
        <f>MAINTENANCE!U3</f>
        <v>Martins</v>
      </c>
      <c r="U4" s="18" t="str">
        <f>MAINTENANCE!V3</f>
        <v>unscheduled</v>
      </c>
      <c r="V4" s="18" t="str">
        <f>MAINTENANCE!W3</f>
        <v>unscheduled</v>
      </c>
      <c r="W4" s="18" t="str">
        <f>MAINTENANCE!X3</f>
        <v>James</v>
      </c>
      <c r="X4" s="18" t="str">
        <f>MAINTENANCE!Y3</f>
        <v>unscheduled</v>
      </c>
      <c r="Y4" s="18" t="str">
        <f>MAINTENANCE!Z3</f>
        <v>unscheduled</v>
      </c>
      <c r="Z4" s="18" t="str">
        <f>MAINTENANCE!AA3</f>
        <v>unscheduled</v>
      </c>
      <c r="AA4" s="18" t="str">
        <f>MAINTENANCE!AB3</f>
        <v>unscheduled</v>
      </c>
      <c r="AB4" s="18" t="str">
        <f>MAINTENANCE!AC3</f>
        <v>unscheduled</v>
      </c>
      <c r="AC4" s="18" t="str">
        <f>MAINTENANCE!AD3</f>
        <v>unscheduled</v>
      </c>
      <c r="AD4" s="18" t="str">
        <f>MAINTENANCE!AE3</f>
        <v>unscheduled</v>
      </c>
      <c r="AE4" s="18" t="str">
        <f>MAINTENANCE!AF3</f>
        <v>unscheduled</v>
      </c>
      <c r="AF4" s="18" t="str">
        <f>MAINTENANCE!AG3</f>
        <v>Brough</v>
      </c>
      <c r="AG4" s="18" t="str">
        <f>MAINTENANCE!AH3</f>
        <v>unscheduled</v>
      </c>
      <c r="AH4" s="18" t="str">
        <f>MAINTENANCE!AI3</f>
        <v>unscheduled</v>
      </c>
      <c r="AI4" s="18" t="str">
        <f>MAINTENANCE!AJ3</f>
        <v>unscheduled</v>
      </c>
      <c r="AJ4" s="18" t="str">
        <f>MAINTENANCE!AK3</f>
        <v>unscheduled</v>
      </c>
      <c r="AK4" s="18" t="str">
        <f>MAINTENANCE!AL3</f>
        <v>unscheduled</v>
      </c>
      <c r="AL4" s="18" t="str">
        <f>MAINTENANCE!AM3</f>
        <v>unscheduled</v>
      </c>
      <c r="AM4" s="18" t="str">
        <f>MAINTENANCE!AN3</f>
        <v>James</v>
      </c>
      <c r="AN4" s="18" t="str">
        <f>MAINTENANCE!AO3</f>
        <v>Martins</v>
      </c>
      <c r="AO4" s="18" t="str">
        <f>MAINTENANCE!AP3</f>
        <v>Atlass</v>
      </c>
      <c r="AP4" s="18" t="str">
        <f>MAINTENANCE!AQ3</f>
        <v>unscheduled</v>
      </c>
      <c r="AQ4" s="18" t="str">
        <f>MAINTENANCE!AR3</f>
        <v>unscheduled</v>
      </c>
      <c r="AR4" s="18" t="str">
        <f>MAINTENANCE!AS3</f>
        <v>unscheduled</v>
      </c>
      <c r="AS4" s="18" t="str">
        <f>MAINTENANCE!AT3</f>
        <v>DB</v>
      </c>
      <c r="AT4" s="18" t="str">
        <f>MAINTENANCE!AU3</f>
        <v>unscheduled</v>
      </c>
      <c r="AU4" s="18" t="str">
        <f>MAINTENANCE!AV3</f>
        <v>unscheduled</v>
      </c>
      <c r="AV4" s="18" t="str">
        <f>MAINTENANCE!AW3</f>
        <v>PB</v>
      </c>
      <c r="AW4" s="18" t="str">
        <f>MAINTENANCE!AX3</f>
        <v>unscheduled</v>
      </c>
      <c r="AX4" s="18" t="str">
        <f>MAINTENANCE!AY3</f>
        <v>DRK</v>
      </c>
      <c r="AY4" s="18" t="str">
        <f>MAINTENANCE!AZ3</f>
        <v>Licence</v>
      </c>
      <c r="AZ4" s="18" t="str">
        <f>MAINTENANCE!BA3</f>
        <v>DRK-8</v>
      </c>
      <c r="BA4" s="13" t="str">
        <f>MAINTENANCE!BB3</f>
        <v>PB</v>
      </c>
      <c r="BB4" s="18" t="str">
        <f>MAINTENANCE!BC3</f>
        <v>DRK-9</v>
      </c>
      <c r="BC4" s="18" t="str">
        <f>MAINTENANCE!BD3</f>
        <v>unscheduled</v>
      </c>
      <c r="BD4" s="18" t="str">
        <f>MAINTENANCE!BE3</f>
        <v>unscheduled</v>
      </c>
      <c r="BE4" s="18" t="str">
        <f>MAINTENANCE!BF3</f>
        <v>unscheduled</v>
      </c>
      <c r="BF4" s="18" t="str">
        <f>MAINTENANCE!BG3</f>
        <v>unscheduled</v>
      </c>
      <c r="BG4" s="18" t="str">
        <f>MAINTENANCE!BH3</f>
        <v>unscheduled</v>
      </c>
      <c r="BH4" s="18">
        <f>MAINTENANCE!BI3</f>
        <v>0</v>
      </c>
      <c r="BI4" s="18">
        <f>MAINTENANCE!BJ3</f>
        <v>0</v>
      </c>
      <c r="BJ4" s="18">
        <f>MAINTENANCE!BK3</f>
        <v>0</v>
      </c>
      <c r="BK4" s="18">
        <f>MAINTENANCE!BL3</f>
        <v>0</v>
      </c>
      <c r="BL4" s="18">
        <f>MAINTENANCE!BM3</f>
        <v>0</v>
      </c>
      <c r="BM4" s="18">
        <f>MAINTENANCE!BN3</f>
        <v>0</v>
      </c>
      <c r="BN4" s="18">
        <f>MAINTENANCE!BO3</f>
        <v>0</v>
      </c>
      <c r="BO4" s="18">
        <f>MAINTENANCE!BP3</f>
        <v>0</v>
      </c>
      <c r="BP4" s="18">
        <f>MAINTENANCE!BQ3</f>
        <v>0</v>
      </c>
      <c r="BQ4" s="59">
        <f>MAINTENANCE!BP3</f>
        <v>0</v>
      </c>
      <c r="BR4" s="15"/>
      <c r="BS4" s="14"/>
    </row>
    <row r="5" spans="1:71">
      <c r="A5" s="196"/>
      <c r="B5" s="197">
        <f>MAINTENANCE!C4</f>
        <v>45341</v>
      </c>
      <c r="C5" s="198">
        <f>MAINTENANCE!D4</f>
        <v>45599</v>
      </c>
      <c r="D5" s="197">
        <f>MAINTENANCE!E4</f>
        <v>45606</v>
      </c>
      <c r="E5" s="197">
        <f>MAINTENANCE!F4</f>
        <v>45490</v>
      </c>
      <c r="F5" s="197">
        <f>MAINTENANCE!G4</f>
        <v>45323</v>
      </c>
      <c r="G5" s="197">
        <f>MAINTENANCE!H4</f>
        <v>45372</v>
      </c>
      <c r="H5" s="197">
        <f>MAINTENANCE!I4</f>
        <v>45396</v>
      </c>
      <c r="I5" s="197">
        <f>MAINTENANCE!J4</f>
        <v>44805</v>
      </c>
      <c r="J5" s="197">
        <f>MAINTENANCE!K4</f>
        <v>45401</v>
      </c>
      <c r="K5" s="197">
        <f>MAINTENANCE!L4</f>
        <v>45425</v>
      </c>
      <c r="L5" s="197">
        <f>MAINTENANCE!M4</f>
        <v>45407</v>
      </c>
      <c r="M5" s="197">
        <f>MAINTENANCE!N4</f>
        <v>45556</v>
      </c>
      <c r="N5" s="197" t="s">
        <v>241</v>
      </c>
      <c r="O5" s="197">
        <f>MAINTENANCE!P4</f>
        <v>45498</v>
      </c>
      <c r="P5" s="197">
        <f>MAINTENANCE!Q4</f>
        <v>45582</v>
      </c>
      <c r="Q5" s="197">
        <f>MAINTENANCE!R4</f>
        <v>45612</v>
      </c>
      <c r="R5" s="197">
        <f>MAINTENANCE!S4</f>
        <v>45612</v>
      </c>
      <c r="S5" s="197">
        <f>MAINTENANCE!T4</f>
        <v>45590</v>
      </c>
      <c r="T5" s="197">
        <f>MAINTENANCE!U4</f>
        <v>45414</v>
      </c>
      <c r="U5" s="197">
        <f>MAINTENANCE!V4</f>
        <v>45421</v>
      </c>
      <c r="V5" s="197">
        <f>MAINTENANCE!W4</f>
        <v>45428</v>
      </c>
      <c r="W5" s="197">
        <f>MAINTENANCE!X4</f>
        <v>45435</v>
      </c>
      <c r="X5" s="197">
        <f>MAINTENANCE!Y4</f>
        <v>45442</v>
      </c>
      <c r="Y5" s="197">
        <f>MAINTENANCE!Z4</f>
        <v>45449</v>
      </c>
      <c r="Z5" s="197">
        <f>MAINTENANCE!AA4</f>
        <v>45456</v>
      </c>
      <c r="AA5" s="197">
        <f>MAINTENANCE!AB4</f>
        <v>45463</v>
      </c>
      <c r="AB5" s="197">
        <f>MAINTENANCE!AC4</f>
        <v>45470</v>
      </c>
      <c r="AC5" s="197">
        <f>MAINTENANCE!AD4</f>
        <v>45477</v>
      </c>
      <c r="AD5" s="197">
        <f>MAINTENANCE!AE4</f>
        <v>45484</v>
      </c>
      <c r="AE5" s="197">
        <f>MAINTENANCE!AF4</f>
        <v>45491</v>
      </c>
      <c r="AF5" s="197">
        <f>MAINTENANCE!AG4</f>
        <v>45498</v>
      </c>
      <c r="AG5" s="197">
        <f>MAINTENANCE!AH4</f>
        <v>45505</v>
      </c>
      <c r="AH5" s="197">
        <f>MAINTENANCE!AI4</f>
        <v>45512</v>
      </c>
      <c r="AI5" s="197">
        <f>MAINTENANCE!AJ4</f>
        <v>45519</v>
      </c>
      <c r="AJ5" s="197">
        <f>MAINTENANCE!AK4</f>
        <v>45526</v>
      </c>
      <c r="AK5" s="197">
        <f>MAINTENANCE!AL4</f>
        <v>45533</v>
      </c>
      <c r="AL5" s="197">
        <f>MAINTENANCE!AM4</f>
        <v>45540</v>
      </c>
      <c r="AM5" s="197">
        <f>MAINTENANCE!AN4</f>
        <v>45547</v>
      </c>
      <c r="AN5" s="197">
        <f>MAINTENANCE!AO4</f>
        <v>45554</v>
      </c>
      <c r="AO5" s="197">
        <f>MAINTENANCE!AP4</f>
        <v>45561</v>
      </c>
      <c r="AP5" s="197">
        <f>MAINTENANCE!AQ4</f>
        <v>45568</v>
      </c>
      <c r="AQ5" s="197">
        <f>MAINTENANCE!AR4</f>
        <v>45575</v>
      </c>
      <c r="AR5" s="197">
        <f>MAINTENANCE!AS4</f>
        <v>45582</v>
      </c>
      <c r="AS5" s="197">
        <f>MAINTENANCE!AT4</f>
        <v>45589</v>
      </c>
      <c r="AT5" s="197">
        <f>MAINTENANCE!AU4</f>
        <v>45596</v>
      </c>
      <c r="AU5" s="197">
        <f>MAINTENANCE!AV4</f>
        <v>45603</v>
      </c>
      <c r="AV5" s="197">
        <f>MAINTENANCE!AW4</f>
        <v>45610</v>
      </c>
      <c r="AW5" s="197">
        <f>MAINTENANCE!AX4</f>
        <v>45617</v>
      </c>
      <c r="AX5" s="197">
        <f>MAINTENANCE!AY4</f>
        <v>45624</v>
      </c>
      <c r="AY5" s="197">
        <f>MAINTENANCE!AZ4</f>
        <v>45631</v>
      </c>
      <c r="AZ5" s="197">
        <f>MAINTENANCE!BA4</f>
        <v>45638</v>
      </c>
      <c r="BA5" s="198">
        <f>MAINTENANCE!BB4</f>
        <v>45674</v>
      </c>
      <c r="BB5" s="197">
        <f>MAINTENANCE!BC4</f>
        <v>45681</v>
      </c>
      <c r="BC5" s="197">
        <f>MAINTENANCE!BD4</f>
        <v>45688</v>
      </c>
      <c r="BD5" s="197">
        <f>MAINTENANCE!BE4</f>
        <v>45695</v>
      </c>
      <c r="BE5" s="197">
        <f>MAINTENANCE!BF4</f>
        <v>45702</v>
      </c>
      <c r="BF5" s="197">
        <f>MAINTENANCE!BG4</f>
        <v>45709</v>
      </c>
      <c r="BG5" s="197">
        <f>MAINTENANCE!BH4</f>
        <v>45716</v>
      </c>
      <c r="BH5" s="197">
        <f>MAINTENANCE!BI4</f>
        <v>0</v>
      </c>
      <c r="BI5" s="197">
        <f>MAINTENANCE!BJ4</f>
        <v>0</v>
      </c>
      <c r="BJ5" s="197">
        <f>MAINTENANCE!BK4</f>
        <v>0</v>
      </c>
      <c r="BK5" s="197">
        <f>MAINTENANCE!BL4</f>
        <v>0</v>
      </c>
      <c r="BL5" s="197">
        <f>MAINTENANCE!BM4</f>
        <v>0</v>
      </c>
      <c r="BM5" s="197">
        <f>MAINTENANCE!BN4</f>
        <v>0</v>
      </c>
      <c r="BN5" s="197">
        <f>MAINTENANCE!BO4</f>
        <v>0</v>
      </c>
      <c r="BO5" s="197">
        <f>MAINTENANCE!BP4</f>
        <v>0</v>
      </c>
      <c r="BP5" s="197">
        <f>MAINTENANCE!BQ4</f>
        <v>0</v>
      </c>
      <c r="BQ5" s="199">
        <f>MAINTENANCE!BP4</f>
        <v>0</v>
      </c>
      <c r="BR5" s="15"/>
      <c r="BS5" s="14"/>
    </row>
    <row r="6" spans="1:71" s="403" customFormat="1">
      <c r="A6" s="437" t="s">
        <v>253</v>
      </c>
      <c r="B6" s="322"/>
      <c r="C6" s="324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4"/>
      <c r="T6" s="324"/>
      <c r="U6" s="325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4"/>
      <c r="AO6" s="324"/>
      <c r="AP6" s="323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4"/>
      <c r="BB6" s="322"/>
      <c r="BC6" s="322"/>
      <c r="BD6" s="322"/>
      <c r="BE6" s="322"/>
      <c r="BF6" s="322"/>
      <c r="BG6" s="322"/>
      <c r="BH6" s="324"/>
      <c r="BI6" s="400"/>
      <c r="BJ6" s="400"/>
      <c r="BK6" s="400"/>
      <c r="BL6" s="400"/>
      <c r="BM6" s="400"/>
      <c r="BN6" s="400"/>
      <c r="BO6" s="400"/>
      <c r="BP6" s="400"/>
      <c r="BQ6" s="401"/>
      <c r="BR6" s="402"/>
      <c r="BS6" s="389">
        <f t="shared" ref="BS6" si="0">SUM(B6:BQ6)</f>
        <v>0</v>
      </c>
    </row>
    <row r="7" spans="1:71">
      <c r="A7" s="634" t="s">
        <v>239</v>
      </c>
      <c r="B7" s="488"/>
      <c r="C7" s="489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>
        <v>104.49</v>
      </c>
      <c r="O7" s="488"/>
      <c r="P7" s="488"/>
      <c r="Q7" s="488"/>
      <c r="R7" s="488"/>
      <c r="S7" s="489"/>
      <c r="T7" s="489"/>
      <c r="U7" s="488"/>
      <c r="V7" s="488"/>
      <c r="W7" s="488"/>
      <c r="X7" s="488"/>
      <c r="Y7" s="488"/>
      <c r="Z7" s="488"/>
      <c r="AA7" s="488"/>
      <c r="AB7" s="488"/>
      <c r="AC7" s="488"/>
      <c r="AD7" s="488"/>
      <c r="AE7" s="488"/>
      <c r="AF7" s="488"/>
      <c r="AG7" s="488"/>
      <c r="AH7" s="488"/>
      <c r="AI7" s="488"/>
      <c r="AJ7" s="488"/>
      <c r="AK7" s="488"/>
      <c r="AL7" s="488"/>
      <c r="AM7" s="488"/>
      <c r="AN7" s="489"/>
      <c r="AO7" s="489"/>
      <c r="AP7" s="490"/>
      <c r="AQ7" s="488"/>
      <c r="AR7" s="488"/>
      <c r="AS7" s="488"/>
      <c r="AT7" s="488"/>
      <c r="AU7" s="488"/>
      <c r="AV7" s="488"/>
      <c r="AW7" s="488"/>
      <c r="AX7" s="488"/>
      <c r="AY7" s="488"/>
      <c r="AZ7" s="488"/>
      <c r="BA7" s="489"/>
      <c r="BB7" s="488"/>
      <c r="BC7" s="488"/>
      <c r="BD7" s="322"/>
      <c r="BE7" s="322"/>
      <c r="BF7" s="322"/>
      <c r="BG7" s="322"/>
      <c r="BH7" s="324"/>
      <c r="BI7" s="51"/>
      <c r="BJ7" s="51"/>
      <c r="BK7" s="51"/>
      <c r="BL7" s="51"/>
      <c r="BM7" s="51"/>
      <c r="BN7" s="51"/>
      <c r="BO7" s="51"/>
      <c r="BP7" s="51"/>
      <c r="BQ7" s="56"/>
      <c r="BR7" s="44"/>
      <c r="BS7" s="43">
        <f>SUM(C7:BQ7)</f>
        <v>104.49</v>
      </c>
    </row>
    <row r="8" spans="1:71" s="403" customFormat="1">
      <c r="A8" s="437" t="s">
        <v>240</v>
      </c>
      <c r="B8" s="322"/>
      <c r="C8" s="324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>
        <v>6.4</v>
      </c>
      <c r="O8" s="322"/>
      <c r="P8" s="322"/>
      <c r="Q8" s="322"/>
      <c r="R8" s="322"/>
      <c r="S8" s="324"/>
      <c r="T8" s="324"/>
      <c r="U8" s="325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4"/>
      <c r="AO8" s="324"/>
      <c r="AP8" s="323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24"/>
      <c r="BB8" s="322"/>
      <c r="BC8" s="322"/>
      <c r="BD8" s="322"/>
      <c r="BE8" s="322"/>
      <c r="BF8" s="322"/>
      <c r="BG8" s="322"/>
      <c r="BH8" s="324"/>
      <c r="BI8" s="400"/>
      <c r="BJ8" s="400"/>
      <c r="BK8" s="400"/>
      <c r="BL8" s="400"/>
      <c r="BM8" s="400"/>
      <c r="BN8" s="400"/>
      <c r="BO8" s="400"/>
      <c r="BP8" s="400"/>
      <c r="BQ8" s="401"/>
      <c r="BR8" s="402"/>
      <c r="BS8" s="389">
        <f>SUM(B8:BQ8)</f>
        <v>6.4</v>
      </c>
    </row>
    <row r="9" spans="1:71" s="403" customFormat="1">
      <c r="A9" s="437"/>
      <c r="B9" s="322"/>
      <c r="C9" s="324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4"/>
      <c r="T9" s="324"/>
      <c r="U9" s="325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4"/>
      <c r="AO9" s="324"/>
      <c r="AP9" s="323"/>
      <c r="AQ9" s="322"/>
      <c r="AR9" s="322"/>
      <c r="AS9" s="322"/>
      <c r="AT9" s="322"/>
      <c r="AU9" s="322"/>
      <c r="AV9" s="322"/>
      <c r="AW9" s="322"/>
      <c r="AX9" s="322"/>
      <c r="AY9" s="322"/>
      <c r="AZ9" s="322"/>
      <c r="BA9" s="324"/>
      <c r="BB9" s="322"/>
      <c r="BC9" s="322"/>
      <c r="BD9" s="322"/>
      <c r="BE9" s="322"/>
      <c r="BF9" s="322"/>
      <c r="BG9" s="322"/>
      <c r="BH9" s="324"/>
      <c r="BI9" s="400"/>
      <c r="BJ9" s="400"/>
      <c r="BK9" s="400"/>
      <c r="BL9" s="400"/>
      <c r="BM9" s="400"/>
      <c r="BN9" s="400"/>
      <c r="BO9" s="400"/>
      <c r="BP9" s="400"/>
      <c r="BQ9" s="401"/>
      <c r="BR9" s="402"/>
      <c r="BS9" s="389">
        <f t="shared" ref="BS9:BS11" si="1">SUM(B9:BQ9)</f>
        <v>0</v>
      </c>
    </row>
    <row r="10" spans="1:71" s="403" customFormat="1">
      <c r="A10" s="437" t="s">
        <v>254</v>
      </c>
      <c r="B10" s="322"/>
      <c r="C10" s="324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4"/>
      <c r="T10" s="324"/>
      <c r="U10" s="325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4"/>
      <c r="AO10" s="324"/>
      <c r="AP10" s="323"/>
      <c r="AQ10" s="322"/>
      <c r="AR10" s="322"/>
      <c r="AS10" s="322"/>
      <c r="AT10" s="322"/>
      <c r="AU10" s="322"/>
      <c r="AV10" s="322"/>
      <c r="AW10" s="322"/>
      <c r="AX10" s="322"/>
      <c r="AY10" s="322"/>
      <c r="AZ10" s="322"/>
      <c r="BA10" s="324"/>
      <c r="BB10" s="322"/>
      <c r="BC10" s="322"/>
      <c r="BD10" s="322"/>
      <c r="BE10" s="322"/>
      <c r="BF10" s="322"/>
      <c r="BG10" s="322"/>
      <c r="BH10" s="324"/>
      <c r="BI10" s="400"/>
      <c r="BJ10" s="400"/>
      <c r="BK10" s="400"/>
      <c r="BL10" s="400"/>
      <c r="BM10" s="400"/>
      <c r="BN10" s="400"/>
      <c r="BO10" s="400"/>
      <c r="BP10" s="400"/>
      <c r="BQ10" s="401"/>
      <c r="BR10" s="402"/>
      <c r="BS10" s="389">
        <f t="shared" si="1"/>
        <v>0</v>
      </c>
    </row>
    <row r="11" spans="1:71" ht="7.25" customHeight="1">
      <c r="A11" s="437" t="s">
        <v>243</v>
      </c>
      <c r="B11" s="322"/>
      <c r="C11" s="324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>
        <v>65</v>
      </c>
      <c r="P11" s="322"/>
      <c r="Q11" s="322"/>
      <c r="R11" s="322"/>
      <c r="S11" s="324"/>
      <c r="T11" s="324"/>
      <c r="U11" s="325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2"/>
      <c r="AM11" s="322"/>
      <c r="AN11" s="324"/>
      <c r="AO11" s="324"/>
      <c r="AP11" s="323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24"/>
      <c r="BB11" s="322"/>
      <c r="BC11" s="322"/>
      <c r="BD11" s="322"/>
      <c r="BE11" s="322"/>
      <c r="BF11" s="322"/>
      <c r="BG11" s="322"/>
      <c r="BH11" s="324"/>
      <c r="BI11" s="51"/>
      <c r="BJ11" s="51"/>
      <c r="BK11" s="51"/>
      <c r="BL11" s="51"/>
      <c r="BM11" s="51"/>
      <c r="BN11" s="51"/>
      <c r="BO11" s="51"/>
      <c r="BP11" s="51"/>
      <c r="BQ11" s="56"/>
      <c r="BR11" s="44"/>
      <c r="BS11" s="389">
        <f t="shared" si="1"/>
        <v>65</v>
      </c>
    </row>
    <row r="12" spans="1:71">
      <c r="A12" s="437" t="s">
        <v>256</v>
      </c>
      <c r="B12" s="322"/>
      <c r="C12" s="324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>
        <v>595.20000000000005</v>
      </c>
      <c r="O12" s="322"/>
      <c r="P12" s="322"/>
      <c r="Q12" s="322"/>
      <c r="R12" s="322"/>
      <c r="S12" s="324"/>
      <c r="T12" s="324"/>
      <c r="U12" s="325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4"/>
      <c r="AO12" s="324"/>
      <c r="AP12" s="323"/>
      <c r="AQ12" s="322"/>
      <c r="AR12" s="322"/>
      <c r="AS12" s="322"/>
      <c r="AT12" s="322"/>
      <c r="AU12" s="322"/>
      <c r="AV12" s="322"/>
      <c r="AW12" s="322"/>
      <c r="AX12" s="322"/>
      <c r="AY12" s="322"/>
      <c r="AZ12" s="322"/>
      <c r="BA12" s="324"/>
      <c r="BB12" s="322"/>
      <c r="BC12" s="322"/>
      <c r="BD12" s="322"/>
      <c r="BE12" s="322"/>
      <c r="BF12" s="322"/>
      <c r="BG12" s="322"/>
      <c r="BH12" s="324"/>
      <c r="BI12" s="51"/>
      <c r="BJ12" s="51"/>
      <c r="BK12" s="51"/>
      <c r="BL12" s="51"/>
      <c r="BM12" s="51"/>
      <c r="BN12" s="51"/>
      <c r="BO12" s="51"/>
      <c r="BP12" s="51"/>
      <c r="BQ12" s="56"/>
      <c r="BR12" s="44"/>
      <c r="BS12" s="389">
        <f>SUM(B12:BQ12)</f>
        <v>595.20000000000005</v>
      </c>
    </row>
    <row r="13" spans="1:71" s="403" customFormat="1">
      <c r="A13" s="437" t="s">
        <v>247</v>
      </c>
      <c r="B13" s="322"/>
      <c r="C13" s="324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>
        <v>1666.4</v>
      </c>
      <c r="Q13" s="322"/>
      <c r="R13" s="322"/>
      <c r="S13" s="324"/>
      <c r="T13" s="324"/>
      <c r="U13" s="325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322"/>
      <c r="AK13" s="322"/>
      <c r="AL13" s="322"/>
      <c r="AM13" s="322"/>
      <c r="AN13" s="324"/>
      <c r="AO13" s="324"/>
      <c r="AP13" s="323"/>
      <c r="AQ13" s="322"/>
      <c r="AR13" s="322"/>
      <c r="AS13" s="322"/>
      <c r="AT13" s="322"/>
      <c r="AU13" s="322"/>
      <c r="AV13" s="322"/>
      <c r="AW13" s="322"/>
      <c r="AX13" s="322"/>
      <c r="AY13" s="322"/>
      <c r="AZ13" s="322"/>
      <c r="BA13" s="324"/>
      <c r="BB13" s="322"/>
      <c r="BC13" s="322"/>
      <c r="BD13" s="322"/>
      <c r="BE13" s="322"/>
      <c r="BF13" s="322"/>
      <c r="BG13" s="322"/>
      <c r="BH13" s="324"/>
      <c r="BI13" s="400"/>
      <c r="BJ13" s="400"/>
      <c r="BK13" s="400"/>
      <c r="BL13" s="400"/>
      <c r="BM13" s="400"/>
      <c r="BN13" s="400"/>
      <c r="BO13" s="400"/>
      <c r="BP13" s="400"/>
      <c r="BQ13" s="401"/>
      <c r="BR13" s="402"/>
      <c r="BS13" s="389">
        <f t="shared" ref="BS13" si="2">SUM(B13:BQ13)</f>
        <v>1666.4</v>
      </c>
    </row>
    <row r="14" spans="1:71" s="403" customFormat="1">
      <c r="A14" s="437"/>
      <c r="B14" s="322"/>
      <c r="C14" s="324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4"/>
      <c r="T14" s="324"/>
      <c r="U14" s="325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324"/>
      <c r="AO14" s="324"/>
      <c r="AP14" s="323"/>
      <c r="AQ14" s="322"/>
      <c r="AR14" s="322"/>
      <c r="AS14" s="322"/>
      <c r="AT14" s="322"/>
      <c r="AU14" s="322"/>
      <c r="AV14" s="322"/>
      <c r="AW14" s="322"/>
      <c r="AX14" s="322"/>
      <c r="AY14" s="322"/>
      <c r="AZ14" s="322"/>
      <c r="BA14" s="324"/>
      <c r="BB14" s="322"/>
      <c r="BC14" s="322"/>
      <c r="BD14" s="322"/>
      <c r="BE14" s="322"/>
      <c r="BF14" s="322"/>
      <c r="BG14" s="322"/>
      <c r="BH14" s="324"/>
      <c r="BI14" s="400"/>
      <c r="BJ14" s="400"/>
      <c r="BK14" s="400"/>
      <c r="BL14" s="400"/>
      <c r="BM14" s="400"/>
      <c r="BN14" s="400"/>
      <c r="BO14" s="400"/>
      <c r="BP14" s="400"/>
      <c r="BQ14" s="401"/>
      <c r="BR14" s="402"/>
      <c r="BS14" s="389">
        <f>SUM(B14:BQ14)</f>
        <v>0</v>
      </c>
    </row>
    <row r="15" spans="1:71" s="403" customFormat="1">
      <c r="A15" s="722" t="s">
        <v>255</v>
      </c>
      <c r="B15" s="322"/>
      <c r="C15" s="324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4"/>
      <c r="T15" s="324"/>
      <c r="U15" s="325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4"/>
      <c r="AO15" s="324"/>
      <c r="AP15" s="323"/>
      <c r="AQ15" s="322"/>
      <c r="AR15" s="322"/>
      <c r="AS15" s="322"/>
      <c r="AT15" s="322"/>
      <c r="AU15" s="322"/>
      <c r="AV15" s="322"/>
      <c r="AW15" s="322"/>
      <c r="AX15" s="322"/>
      <c r="AY15" s="322"/>
      <c r="AZ15" s="322"/>
      <c r="BA15" s="324"/>
      <c r="BB15" s="322"/>
      <c r="BC15" s="322"/>
      <c r="BD15" s="322"/>
      <c r="BE15" s="322"/>
      <c r="BF15" s="322"/>
      <c r="BG15" s="322"/>
      <c r="BH15" s="324"/>
      <c r="BI15" s="400"/>
      <c r="BJ15" s="400"/>
      <c r="BK15" s="400"/>
      <c r="BL15" s="400"/>
      <c r="BM15" s="400"/>
      <c r="BN15" s="400"/>
      <c r="BO15" s="400"/>
      <c r="BP15" s="400"/>
      <c r="BQ15" s="401"/>
      <c r="BR15" s="402"/>
      <c r="BS15" s="389">
        <f t="shared" ref="BS15:BS20" si="3">SUM(B15:BQ15)</f>
        <v>0</v>
      </c>
    </row>
    <row r="16" spans="1:71" ht="7.25" customHeight="1">
      <c r="A16" s="437" t="s">
        <v>242</v>
      </c>
      <c r="B16" s="322"/>
      <c r="C16" s="324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>
        <v>16.989999999999998</v>
      </c>
      <c r="O16" s="322"/>
      <c r="P16" s="322"/>
      <c r="Q16" s="322"/>
      <c r="R16" s="322"/>
      <c r="S16" s="324"/>
      <c r="T16" s="324"/>
      <c r="U16" s="325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  <c r="AL16" s="322"/>
      <c r="AM16" s="322"/>
      <c r="AN16" s="324"/>
      <c r="AO16" s="324"/>
      <c r="AP16" s="323"/>
      <c r="AQ16" s="322"/>
      <c r="AR16" s="322"/>
      <c r="AS16" s="322"/>
      <c r="AT16" s="322"/>
      <c r="AU16" s="322"/>
      <c r="AV16" s="322"/>
      <c r="AW16" s="322"/>
      <c r="AX16" s="322"/>
      <c r="AY16" s="322"/>
      <c r="AZ16" s="322"/>
      <c r="BA16" s="324"/>
      <c r="BB16" s="322"/>
      <c r="BC16" s="322"/>
      <c r="BD16" s="322"/>
      <c r="BE16" s="322"/>
      <c r="BF16" s="322"/>
      <c r="BG16" s="322"/>
      <c r="BH16" s="324"/>
      <c r="BI16" s="51"/>
      <c r="BJ16" s="51"/>
      <c r="BK16" s="51"/>
      <c r="BL16" s="51"/>
      <c r="BM16" s="51"/>
      <c r="BN16" s="51"/>
      <c r="BO16" s="51"/>
      <c r="BP16" s="51"/>
      <c r="BQ16" s="56"/>
      <c r="BR16" s="44"/>
      <c r="BS16" s="389">
        <f>SUM(B16:BQ16)</f>
        <v>16.989999999999998</v>
      </c>
    </row>
    <row r="17" spans="1:71" s="403" customFormat="1">
      <c r="A17" s="437" t="s">
        <v>233</v>
      </c>
      <c r="B17" s="322"/>
      <c r="C17" s="324"/>
      <c r="D17" s="322"/>
      <c r="E17" s="322"/>
      <c r="F17" s="322"/>
      <c r="G17" s="322"/>
      <c r="H17" s="488">
        <v>29.99</v>
      </c>
      <c r="I17" s="322"/>
      <c r="J17" s="322"/>
      <c r="K17" s="322"/>
      <c r="L17" s="322"/>
      <c r="M17" s="322"/>
      <c r="N17" s="322"/>
      <c r="O17" s="322"/>
      <c r="P17" s="322"/>
      <c r="Q17" s="322">
        <v>65.98</v>
      </c>
      <c r="R17" s="322"/>
      <c r="S17" s="324"/>
      <c r="T17" s="324"/>
      <c r="U17" s="325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  <c r="AL17" s="322"/>
      <c r="AM17" s="322"/>
      <c r="AN17" s="324"/>
      <c r="AO17" s="324"/>
      <c r="AP17" s="323"/>
      <c r="AQ17" s="322"/>
      <c r="AR17" s="322"/>
      <c r="AS17" s="322"/>
      <c r="AT17" s="322"/>
      <c r="AU17" s="322"/>
      <c r="AV17" s="322"/>
      <c r="AW17" s="322"/>
      <c r="AX17" s="322"/>
      <c r="AY17" s="322"/>
      <c r="AZ17" s="322"/>
      <c r="BA17" s="324"/>
      <c r="BB17" s="322"/>
      <c r="BC17" s="322"/>
      <c r="BD17" s="322"/>
      <c r="BE17" s="322"/>
      <c r="BF17" s="322"/>
      <c r="BG17" s="322"/>
      <c r="BH17" s="324"/>
      <c r="BI17" s="400"/>
      <c r="BJ17" s="400"/>
      <c r="BK17" s="400"/>
      <c r="BL17" s="400"/>
      <c r="BM17" s="400"/>
      <c r="BN17" s="400"/>
      <c r="BO17" s="400"/>
      <c r="BP17" s="400"/>
      <c r="BQ17" s="401"/>
      <c r="BR17" s="402"/>
      <c r="BS17" s="389">
        <f t="shared" si="3"/>
        <v>95.97</v>
      </c>
    </row>
    <row r="18" spans="1:71" s="403" customFormat="1">
      <c r="A18" s="437" t="s">
        <v>257</v>
      </c>
      <c r="B18" s="488"/>
      <c r="C18" s="489"/>
      <c r="D18" s="488"/>
      <c r="E18" s="488"/>
      <c r="F18" s="488"/>
      <c r="G18" s="488">
        <v>23.98</v>
      </c>
      <c r="H18" s="488"/>
      <c r="I18" s="488"/>
      <c r="J18" s="488"/>
      <c r="K18" s="488"/>
      <c r="L18" s="488"/>
      <c r="M18" s="488"/>
      <c r="N18" s="488"/>
      <c r="O18" s="488"/>
      <c r="P18" s="488"/>
      <c r="Q18" s="488"/>
      <c r="R18" s="488"/>
      <c r="S18" s="489"/>
      <c r="T18" s="489"/>
      <c r="U18" s="488"/>
      <c r="V18" s="488"/>
      <c r="W18" s="488"/>
      <c r="X18" s="488"/>
      <c r="Y18" s="488"/>
      <c r="Z18" s="488"/>
      <c r="AA18" s="488"/>
      <c r="AB18" s="488"/>
      <c r="AC18" s="488"/>
      <c r="AD18" s="488"/>
      <c r="AE18" s="488"/>
      <c r="AF18" s="488"/>
      <c r="AG18" s="488"/>
      <c r="AH18" s="488"/>
      <c r="AI18" s="488"/>
      <c r="AJ18" s="488"/>
      <c r="AK18" s="488"/>
      <c r="AL18" s="488"/>
      <c r="AM18" s="488"/>
      <c r="AN18" s="489"/>
      <c r="AO18" s="489"/>
      <c r="AP18" s="490"/>
      <c r="AQ18" s="488"/>
      <c r="AR18" s="488"/>
      <c r="AS18" s="488"/>
      <c r="AT18" s="322"/>
      <c r="AU18" s="322"/>
      <c r="AV18" s="322"/>
      <c r="AW18" s="322"/>
      <c r="AX18" s="322"/>
      <c r="AY18" s="322"/>
      <c r="AZ18" s="322"/>
      <c r="BA18" s="324"/>
      <c r="BB18" s="322"/>
      <c r="BC18" s="322"/>
      <c r="BD18" s="322"/>
      <c r="BE18" s="322"/>
      <c r="BF18" s="322"/>
      <c r="BG18" s="322"/>
      <c r="BH18" s="324"/>
      <c r="BI18" s="400"/>
      <c r="BJ18" s="400"/>
      <c r="BK18" s="400"/>
      <c r="BL18" s="400"/>
      <c r="BM18" s="400"/>
      <c r="BN18" s="400"/>
      <c r="BO18" s="400"/>
      <c r="BP18" s="400"/>
      <c r="BQ18" s="401"/>
      <c r="BR18" s="402"/>
      <c r="BS18" s="389">
        <f>SUM(B18:BQ18)</f>
        <v>23.98</v>
      </c>
    </row>
    <row r="19" spans="1:71" s="403" customFormat="1">
      <c r="A19" s="634" t="s">
        <v>246</v>
      </c>
      <c r="B19" s="322"/>
      <c r="C19" s="324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4"/>
      <c r="T19" s="324"/>
      <c r="U19" s="325"/>
      <c r="V19" s="322"/>
      <c r="W19" s="322"/>
      <c r="X19" s="322"/>
      <c r="Y19" s="322"/>
      <c r="Z19" s="322"/>
      <c r="AA19" s="322"/>
      <c r="AB19" s="322"/>
      <c r="AC19" s="322"/>
      <c r="AD19" s="322"/>
      <c r="AE19" s="322"/>
      <c r="AF19" s="322"/>
      <c r="AG19" s="322"/>
      <c r="AH19" s="322"/>
      <c r="AI19" s="322"/>
      <c r="AJ19" s="322"/>
      <c r="AK19" s="322"/>
      <c r="AL19" s="322"/>
      <c r="AM19" s="322"/>
      <c r="AN19" s="324"/>
      <c r="AO19" s="489">
        <v>15</v>
      </c>
      <c r="AP19" s="323"/>
      <c r="AQ19" s="322"/>
      <c r="AR19" s="322"/>
      <c r="AS19" s="322"/>
      <c r="AT19" s="322"/>
      <c r="AU19" s="322"/>
      <c r="AV19" s="322"/>
      <c r="AW19" s="322"/>
      <c r="AX19" s="322"/>
      <c r="AY19" s="322"/>
      <c r="AZ19" s="322"/>
      <c r="BA19" s="324"/>
      <c r="BB19" s="322"/>
      <c r="BC19" s="322"/>
      <c r="BD19" s="322"/>
      <c r="BE19" s="322"/>
      <c r="BF19" s="322"/>
      <c r="BG19" s="322"/>
      <c r="BH19" s="324"/>
      <c r="BI19" s="400"/>
      <c r="BJ19" s="400"/>
      <c r="BK19" s="400"/>
      <c r="BL19" s="400"/>
      <c r="BM19" s="400"/>
      <c r="BN19" s="400"/>
      <c r="BO19" s="400"/>
      <c r="BP19" s="400"/>
      <c r="BQ19" s="401"/>
      <c r="BR19" s="402"/>
      <c r="BS19" s="389">
        <f>SUM(B19:BQ19)</f>
        <v>15</v>
      </c>
    </row>
    <row r="20" spans="1:71" s="403" customFormat="1">
      <c r="A20" s="437"/>
      <c r="B20" s="322"/>
      <c r="C20" s="324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4"/>
      <c r="T20" s="324"/>
      <c r="U20" s="325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  <c r="AI20" s="322"/>
      <c r="AJ20" s="322"/>
      <c r="AK20" s="322"/>
      <c r="AL20" s="322"/>
      <c r="AM20" s="322"/>
      <c r="AN20" s="324"/>
      <c r="AO20" s="324"/>
      <c r="AP20" s="323"/>
      <c r="AQ20" s="322"/>
      <c r="AR20" s="322"/>
      <c r="AS20" s="322"/>
      <c r="AT20" s="322"/>
      <c r="AU20" s="322"/>
      <c r="AV20" s="322"/>
      <c r="AW20" s="322"/>
      <c r="AX20" s="322"/>
      <c r="AY20" s="322"/>
      <c r="AZ20" s="322"/>
      <c r="BA20" s="324"/>
      <c r="BB20" s="322"/>
      <c r="BC20" s="322"/>
      <c r="BD20" s="322"/>
      <c r="BE20" s="322"/>
      <c r="BF20" s="322"/>
      <c r="BG20" s="322"/>
      <c r="BH20" s="324"/>
      <c r="BI20" s="400"/>
      <c r="BJ20" s="400"/>
      <c r="BK20" s="400"/>
      <c r="BL20" s="400"/>
      <c r="BM20" s="400"/>
      <c r="BN20" s="400"/>
      <c r="BO20" s="400"/>
      <c r="BP20" s="400"/>
      <c r="BQ20" s="401"/>
      <c r="BR20" s="402"/>
      <c r="BS20" s="389">
        <f t="shared" si="3"/>
        <v>0</v>
      </c>
    </row>
    <row r="21" spans="1:71">
      <c r="A21" s="437" t="s">
        <v>270</v>
      </c>
      <c r="B21" s="322"/>
      <c r="C21" s="324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4"/>
      <c r="T21" s="324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  <c r="AL21" s="322"/>
      <c r="AM21" s="322"/>
      <c r="AN21" s="324"/>
      <c r="AO21" s="324"/>
      <c r="AP21" s="323"/>
      <c r="AQ21" s="322"/>
      <c r="AR21" s="322"/>
      <c r="AS21" s="322"/>
      <c r="AT21" s="322"/>
      <c r="AU21" s="322"/>
      <c r="AV21" s="322"/>
      <c r="AW21" s="322"/>
      <c r="AX21" s="322"/>
      <c r="AY21" s="322"/>
      <c r="AZ21" s="322"/>
      <c r="BA21" s="324"/>
      <c r="BB21" s="322"/>
      <c r="BC21" s="322"/>
      <c r="BD21" s="322"/>
      <c r="BE21" s="322"/>
      <c r="BF21" s="322"/>
      <c r="BG21" s="322"/>
      <c r="BH21" s="324"/>
      <c r="BI21" s="51"/>
      <c r="BJ21" s="51"/>
      <c r="BK21" s="51"/>
      <c r="BL21" s="51"/>
      <c r="BM21" s="51"/>
      <c r="BN21" s="51"/>
      <c r="BO21" s="51"/>
      <c r="BP21" s="51"/>
      <c r="BQ21" s="56"/>
      <c r="BR21" s="44"/>
      <c r="BS21" s="43">
        <f>SUM(B21:BQ21)</f>
        <v>0</v>
      </c>
    </row>
    <row r="22" spans="1:71" s="403" customFormat="1">
      <c r="A22" s="437" t="s">
        <v>269</v>
      </c>
      <c r="B22" s="322"/>
      <c r="C22" s="324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4"/>
      <c r="T22" s="324"/>
      <c r="U22" s="325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  <c r="AL22" s="322"/>
      <c r="AM22" s="322"/>
      <c r="AN22" s="324"/>
      <c r="AO22" s="324"/>
      <c r="AP22" s="323"/>
      <c r="AQ22" s="322"/>
      <c r="AR22" s="322"/>
      <c r="AS22" s="322"/>
      <c r="AT22" s="322"/>
      <c r="AU22" s="322"/>
      <c r="AV22" s="322"/>
      <c r="AW22" s="322"/>
      <c r="AX22" s="322"/>
      <c r="AY22" s="322"/>
      <c r="AZ22" s="322"/>
      <c r="BA22" s="324">
        <v>144</v>
      </c>
      <c r="BB22" s="322"/>
      <c r="BC22" s="322"/>
      <c r="BD22" s="322"/>
      <c r="BE22" s="322"/>
      <c r="BF22" s="322"/>
      <c r="BG22" s="322"/>
      <c r="BH22" s="324"/>
      <c r="BI22" s="400"/>
      <c r="BJ22" s="400"/>
      <c r="BK22" s="400"/>
      <c r="BL22" s="400"/>
      <c r="BM22" s="400"/>
      <c r="BN22" s="400"/>
      <c r="BO22" s="400"/>
      <c r="BP22" s="400"/>
      <c r="BQ22" s="401"/>
      <c r="BR22" s="402"/>
      <c r="BS22" s="389">
        <f>SUM(B22:BQ22)</f>
        <v>144</v>
      </c>
    </row>
    <row r="23" spans="1:71" s="403" customFormat="1" ht="7.5" thickBot="1">
      <c r="A23" s="437"/>
      <c r="B23" s="322"/>
      <c r="C23" s="324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4"/>
      <c r="T23" s="324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  <c r="AL23" s="322"/>
      <c r="AM23" s="322"/>
      <c r="AN23" s="324"/>
      <c r="AO23" s="324"/>
      <c r="AP23" s="323"/>
      <c r="AQ23" s="322"/>
      <c r="AR23" s="322"/>
      <c r="AS23" s="322"/>
      <c r="AT23" s="322"/>
      <c r="AU23" s="322"/>
      <c r="AV23" s="322"/>
      <c r="AW23" s="322"/>
      <c r="AX23" s="322"/>
      <c r="AY23" s="322"/>
      <c r="AZ23" s="322"/>
      <c r="BA23" s="324"/>
      <c r="BB23" s="322"/>
      <c r="BC23" s="322"/>
      <c r="BD23" s="322"/>
      <c r="BE23" s="322"/>
      <c r="BF23" s="322"/>
      <c r="BG23" s="322"/>
      <c r="BH23" s="324"/>
      <c r="BI23" s="400"/>
      <c r="BJ23" s="400"/>
      <c r="BK23" s="400"/>
      <c r="BL23" s="400"/>
      <c r="BM23" s="400"/>
      <c r="BN23" s="400"/>
      <c r="BO23" s="400"/>
      <c r="BP23" s="400"/>
      <c r="BQ23" s="401"/>
      <c r="BR23" s="402"/>
      <c r="BS23" s="389">
        <f t="shared" ref="BS23:BS29" si="4">SUM(B23:BQ23)</f>
        <v>0</v>
      </c>
    </row>
    <row r="24" spans="1:71" hidden="1">
      <c r="A24" s="437"/>
      <c r="B24" s="322"/>
      <c r="C24" s="324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4"/>
      <c r="T24" s="324"/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  <c r="AF24" s="322"/>
      <c r="AG24" s="322"/>
      <c r="AH24" s="322"/>
      <c r="AI24" s="322"/>
      <c r="AJ24" s="322"/>
      <c r="AK24" s="322"/>
      <c r="AL24" s="322"/>
      <c r="AM24" s="322"/>
      <c r="AN24" s="324"/>
      <c r="AO24" s="324"/>
      <c r="AP24" s="323"/>
      <c r="AQ24" s="322"/>
      <c r="AR24" s="322"/>
      <c r="AS24" s="322"/>
      <c r="AT24" s="322"/>
      <c r="AU24" s="322"/>
      <c r="AV24" s="322"/>
      <c r="AW24" s="322"/>
      <c r="AX24" s="322"/>
      <c r="AY24" s="322"/>
      <c r="AZ24" s="322"/>
      <c r="BA24" s="324"/>
      <c r="BB24" s="322"/>
      <c r="BC24" s="322"/>
      <c r="BD24" s="322"/>
      <c r="BE24" s="322"/>
      <c r="BF24" s="322"/>
      <c r="BG24" s="322"/>
      <c r="BH24" s="324"/>
      <c r="BI24" s="51"/>
      <c r="BJ24" s="51"/>
      <c r="BK24" s="51"/>
      <c r="BL24" s="51"/>
      <c r="BM24" s="51"/>
      <c r="BN24" s="51"/>
      <c r="BO24" s="51"/>
      <c r="BP24" s="51"/>
      <c r="BQ24" s="56"/>
      <c r="BR24" s="44"/>
      <c r="BS24" s="43">
        <f>SUM(B24:BQ24)</f>
        <v>0</v>
      </c>
    </row>
    <row r="25" spans="1:71" hidden="1">
      <c r="A25" s="437"/>
      <c r="B25" s="322"/>
      <c r="C25" s="324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4"/>
      <c r="T25" s="324"/>
      <c r="U25" s="325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24"/>
      <c r="AO25" s="324"/>
      <c r="AP25" s="323"/>
      <c r="AQ25" s="322"/>
      <c r="AR25" s="322"/>
      <c r="AS25" s="322"/>
      <c r="AT25" s="322"/>
      <c r="AU25" s="322"/>
      <c r="AV25" s="322"/>
      <c r="AW25" s="322"/>
      <c r="AX25" s="322"/>
      <c r="AY25" s="322"/>
      <c r="AZ25" s="322"/>
      <c r="BA25" s="324"/>
      <c r="BB25" s="322"/>
      <c r="BC25" s="322"/>
      <c r="BD25" s="322"/>
      <c r="BE25" s="322"/>
      <c r="BF25" s="322"/>
      <c r="BG25" s="322"/>
      <c r="BH25" s="324"/>
      <c r="BI25" s="51"/>
      <c r="BJ25" s="51"/>
      <c r="BK25" s="51"/>
      <c r="BL25" s="51"/>
      <c r="BM25" s="51"/>
      <c r="BN25" s="51"/>
      <c r="BO25" s="51"/>
      <c r="BP25" s="51"/>
      <c r="BQ25" s="56"/>
      <c r="BR25" s="44"/>
      <c r="BS25" s="43">
        <f>SUM(B25:BQ25)</f>
        <v>0</v>
      </c>
    </row>
    <row r="26" spans="1:71" s="403" customFormat="1" hidden="1">
      <c r="A26" s="437"/>
      <c r="B26" s="322"/>
      <c r="C26" s="324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4"/>
      <c r="T26" s="324"/>
      <c r="U26" s="325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2"/>
      <c r="AL26" s="322"/>
      <c r="AM26" s="322"/>
      <c r="AN26" s="324"/>
      <c r="AO26" s="324"/>
      <c r="AP26" s="323"/>
      <c r="AQ26" s="322"/>
      <c r="AR26" s="322"/>
      <c r="AS26" s="322"/>
      <c r="AT26" s="322"/>
      <c r="AU26" s="322"/>
      <c r="AV26" s="322"/>
      <c r="AW26" s="322"/>
      <c r="AX26" s="322"/>
      <c r="AY26" s="322"/>
      <c r="AZ26" s="322"/>
      <c r="BA26" s="324"/>
      <c r="BB26" s="322"/>
      <c r="BC26" s="322"/>
      <c r="BD26" s="322"/>
      <c r="BE26" s="322"/>
      <c r="BF26" s="322"/>
      <c r="BG26" s="322"/>
      <c r="BH26" s="324"/>
      <c r="BI26" s="400"/>
      <c r="BJ26" s="400"/>
      <c r="BK26" s="400"/>
      <c r="BL26" s="400"/>
      <c r="BM26" s="400"/>
      <c r="BN26" s="400"/>
      <c r="BO26" s="400"/>
      <c r="BP26" s="400"/>
      <c r="BQ26" s="401"/>
      <c r="BR26" s="402"/>
      <c r="BS26" s="389">
        <f t="shared" si="4"/>
        <v>0</v>
      </c>
    </row>
    <row r="27" spans="1:71" s="403" customFormat="1" hidden="1">
      <c r="A27" s="326"/>
      <c r="B27" s="322"/>
      <c r="C27" s="324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4"/>
      <c r="T27" s="324"/>
      <c r="U27" s="325"/>
      <c r="V27" s="322"/>
      <c r="W27" s="322"/>
      <c r="X27" s="322"/>
      <c r="Y27" s="322"/>
      <c r="Z27" s="322"/>
      <c r="AA27" s="322"/>
      <c r="AB27" s="322"/>
      <c r="AC27" s="322"/>
      <c r="AD27" s="322"/>
      <c r="AE27" s="322"/>
      <c r="AF27" s="322"/>
      <c r="AG27" s="322"/>
      <c r="AH27" s="322"/>
      <c r="AI27" s="322"/>
      <c r="AJ27" s="322"/>
      <c r="AK27" s="322"/>
      <c r="AL27" s="322"/>
      <c r="AM27" s="322"/>
      <c r="AN27" s="324"/>
      <c r="AO27" s="324"/>
      <c r="AP27" s="323"/>
      <c r="AQ27" s="322"/>
      <c r="AR27" s="322"/>
      <c r="AS27" s="322"/>
      <c r="AT27" s="322"/>
      <c r="AU27" s="322"/>
      <c r="AV27" s="322"/>
      <c r="AW27" s="322"/>
      <c r="AX27" s="322"/>
      <c r="AY27" s="322"/>
      <c r="AZ27" s="322"/>
      <c r="BA27" s="324"/>
      <c r="BB27" s="322"/>
      <c r="BC27" s="322"/>
      <c r="BD27" s="322"/>
      <c r="BE27" s="322"/>
      <c r="BF27" s="322"/>
      <c r="BG27" s="322"/>
      <c r="BH27" s="324"/>
      <c r="BI27" s="400"/>
      <c r="BJ27" s="400"/>
      <c r="BK27" s="400"/>
      <c r="BL27" s="400"/>
      <c r="BM27" s="400"/>
      <c r="BN27" s="400"/>
      <c r="BO27" s="400"/>
      <c r="BP27" s="400"/>
      <c r="BQ27" s="401"/>
      <c r="BR27" s="402"/>
      <c r="BS27" s="389">
        <f t="shared" si="4"/>
        <v>0</v>
      </c>
    </row>
    <row r="28" spans="1:71" s="403" customFormat="1" hidden="1">
      <c r="A28" s="437"/>
      <c r="B28" s="322"/>
      <c r="C28" s="324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4"/>
      <c r="T28" s="324"/>
      <c r="U28" s="325"/>
      <c r="V28" s="322"/>
      <c r="W28" s="322"/>
      <c r="X28" s="322"/>
      <c r="Y28" s="322"/>
      <c r="Z28" s="322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  <c r="AL28" s="322"/>
      <c r="AM28" s="322"/>
      <c r="AN28" s="324"/>
      <c r="AO28" s="324"/>
      <c r="AP28" s="323"/>
      <c r="AQ28" s="322"/>
      <c r="AR28" s="322"/>
      <c r="AS28" s="322"/>
      <c r="AT28" s="322"/>
      <c r="AU28" s="322"/>
      <c r="AV28" s="322"/>
      <c r="AW28" s="322"/>
      <c r="AX28" s="322"/>
      <c r="AY28" s="322"/>
      <c r="AZ28" s="322"/>
      <c r="BA28" s="324"/>
      <c r="BB28" s="322"/>
      <c r="BC28" s="322"/>
      <c r="BD28" s="322"/>
      <c r="BE28" s="322"/>
      <c r="BF28" s="322"/>
      <c r="BG28" s="322"/>
      <c r="BH28" s="324"/>
      <c r="BI28" s="400"/>
      <c r="BJ28" s="400"/>
      <c r="BK28" s="400"/>
      <c r="BL28" s="400"/>
      <c r="BM28" s="400"/>
      <c r="BN28" s="400"/>
      <c r="BO28" s="400"/>
      <c r="BP28" s="400"/>
      <c r="BQ28" s="401"/>
      <c r="BR28" s="402"/>
      <c r="BS28" s="389">
        <f t="shared" si="4"/>
        <v>0</v>
      </c>
    </row>
    <row r="29" spans="1:71" s="403" customFormat="1" hidden="1">
      <c r="A29" s="437"/>
      <c r="B29" s="322"/>
      <c r="C29" s="324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R29" s="322"/>
      <c r="S29" s="324"/>
      <c r="T29" s="324"/>
      <c r="U29" s="325"/>
      <c r="V29" s="322"/>
      <c r="W29" s="322"/>
      <c r="X29" s="322"/>
      <c r="Y29" s="322"/>
      <c r="Z29" s="322"/>
      <c r="AA29" s="322"/>
      <c r="AB29" s="322"/>
      <c r="AC29" s="322"/>
      <c r="AD29" s="322"/>
      <c r="AE29" s="322"/>
      <c r="AF29" s="322"/>
      <c r="AG29" s="322"/>
      <c r="AH29" s="322"/>
      <c r="AI29" s="322"/>
      <c r="AJ29" s="322"/>
      <c r="AK29" s="322"/>
      <c r="AL29" s="322"/>
      <c r="AM29" s="322"/>
      <c r="AN29" s="324"/>
      <c r="AO29" s="324"/>
      <c r="AP29" s="323"/>
      <c r="AQ29" s="322"/>
      <c r="AR29" s="322"/>
      <c r="AS29" s="322"/>
      <c r="AT29" s="322"/>
      <c r="AU29" s="322"/>
      <c r="AV29" s="322"/>
      <c r="AW29" s="322"/>
      <c r="AX29" s="322"/>
      <c r="AY29" s="322"/>
      <c r="AZ29" s="322"/>
      <c r="BA29" s="324"/>
      <c r="BB29" s="322"/>
      <c r="BC29" s="322"/>
      <c r="BD29" s="322"/>
      <c r="BE29" s="322"/>
      <c r="BF29" s="322"/>
      <c r="BG29" s="322"/>
      <c r="BH29" s="324"/>
      <c r="BI29" s="400"/>
      <c r="BJ29" s="400"/>
      <c r="BK29" s="400"/>
      <c r="BL29" s="400"/>
      <c r="BM29" s="400"/>
      <c r="BN29" s="400"/>
      <c r="BO29" s="400"/>
      <c r="BP29" s="400"/>
      <c r="BQ29" s="401"/>
      <c r="BR29" s="402"/>
      <c r="BS29" s="389">
        <f t="shared" si="4"/>
        <v>0</v>
      </c>
    </row>
    <row r="30" spans="1:71" s="403" customFormat="1" hidden="1">
      <c r="A30" s="328"/>
      <c r="B30" s="329"/>
      <c r="C30" s="331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31"/>
      <c r="T30" s="331"/>
      <c r="U30" s="356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31"/>
      <c r="AO30" s="331"/>
      <c r="AP30" s="330"/>
      <c r="AQ30" s="329"/>
      <c r="AR30" s="329"/>
      <c r="AS30" s="329"/>
      <c r="AT30" s="329"/>
      <c r="AU30" s="329"/>
      <c r="AV30" s="329"/>
      <c r="AW30" s="329"/>
      <c r="AX30" s="329"/>
      <c r="AY30" s="329"/>
      <c r="AZ30" s="329"/>
      <c r="BA30" s="331"/>
      <c r="BB30" s="329"/>
      <c r="BC30" s="329"/>
      <c r="BD30" s="329"/>
      <c r="BE30" s="329"/>
      <c r="BF30" s="329"/>
      <c r="BG30" s="329"/>
      <c r="BH30" s="331"/>
      <c r="BI30" s="400"/>
      <c r="BJ30" s="400"/>
      <c r="BK30" s="400"/>
      <c r="BL30" s="400"/>
      <c r="BM30" s="400"/>
      <c r="BN30" s="400"/>
      <c r="BO30" s="400"/>
      <c r="BP30" s="400"/>
      <c r="BQ30" s="401"/>
      <c r="BR30" s="402"/>
      <c r="BS30" s="389">
        <f>SUM(B30:BQ30)</f>
        <v>0</v>
      </c>
    </row>
    <row r="31" spans="1:71" s="502" customFormat="1" hidden="1">
      <c r="A31" s="495"/>
      <c r="B31" s="496"/>
      <c r="C31" s="497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7"/>
      <c r="T31" s="497"/>
      <c r="U31" s="361"/>
      <c r="V31" s="496"/>
      <c r="W31" s="496"/>
      <c r="X31" s="496"/>
      <c r="Y31" s="496"/>
      <c r="Z31" s="496"/>
      <c r="AA31" s="496"/>
      <c r="AB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7"/>
      <c r="AO31" s="497"/>
      <c r="AP31" s="498"/>
      <c r="AQ31" s="496"/>
      <c r="AR31" s="496"/>
      <c r="AS31" s="496"/>
      <c r="AT31" s="496"/>
      <c r="AU31" s="496"/>
      <c r="AV31" s="496"/>
      <c r="AW31" s="496"/>
      <c r="AX31" s="496"/>
      <c r="AY31" s="496"/>
      <c r="AZ31" s="496"/>
      <c r="BA31" s="497"/>
      <c r="BB31" s="496"/>
      <c r="BC31" s="496"/>
      <c r="BD31" s="496"/>
      <c r="BE31" s="496"/>
      <c r="BF31" s="496"/>
      <c r="BG31" s="496"/>
      <c r="BH31" s="496"/>
      <c r="BI31" s="499"/>
      <c r="BJ31" s="499"/>
      <c r="BK31" s="499"/>
      <c r="BL31" s="499"/>
      <c r="BM31" s="499"/>
      <c r="BN31" s="499"/>
      <c r="BO31" s="499"/>
      <c r="BP31" s="499"/>
      <c r="BQ31" s="500"/>
      <c r="BR31" s="501"/>
      <c r="BS31" s="389">
        <f t="shared" ref="BS31:BS37" si="5">SUM(B31:BQ31)</f>
        <v>0</v>
      </c>
    </row>
    <row r="32" spans="1:71" s="403" customFormat="1" hidden="1">
      <c r="A32" s="437"/>
      <c r="B32" s="322"/>
      <c r="C32" s="324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4"/>
      <c r="T32" s="324"/>
      <c r="U32" s="325"/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  <c r="AL32" s="322"/>
      <c r="AM32" s="322"/>
      <c r="AN32" s="324"/>
      <c r="AO32" s="324"/>
      <c r="AP32" s="323"/>
      <c r="AQ32" s="322"/>
      <c r="AR32" s="322"/>
      <c r="AS32" s="322"/>
      <c r="AT32" s="322"/>
      <c r="AU32" s="322"/>
      <c r="AV32" s="322"/>
      <c r="AW32" s="322"/>
      <c r="AX32" s="322"/>
      <c r="AY32" s="322"/>
      <c r="AZ32" s="322"/>
      <c r="BA32" s="324"/>
      <c r="BB32" s="322"/>
      <c r="BC32" s="322"/>
      <c r="BD32" s="322"/>
      <c r="BE32" s="322"/>
      <c r="BF32" s="322"/>
      <c r="BG32" s="322"/>
      <c r="BH32" s="324"/>
      <c r="BI32" s="400"/>
      <c r="BJ32" s="400"/>
      <c r="BK32" s="400"/>
      <c r="BL32" s="400"/>
      <c r="BM32" s="400"/>
      <c r="BN32" s="400"/>
      <c r="BO32" s="400"/>
      <c r="BP32" s="400"/>
      <c r="BQ32" s="401"/>
      <c r="BR32" s="402"/>
      <c r="BS32" s="389">
        <f t="shared" si="5"/>
        <v>0</v>
      </c>
    </row>
    <row r="33" spans="1:71" s="403" customFormat="1" hidden="1">
      <c r="A33" s="437"/>
      <c r="B33" s="322"/>
      <c r="C33" s="324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4"/>
      <c r="T33" s="324"/>
      <c r="U33" s="325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  <c r="AL33" s="322"/>
      <c r="AM33" s="322"/>
      <c r="AN33" s="324"/>
      <c r="AO33" s="324"/>
      <c r="AP33" s="323"/>
      <c r="AQ33" s="322"/>
      <c r="AR33" s="322"/>
      <c r="AS33" s="322"/>
      <c r="AT33" s="322"/>
      <c r="AU33" s="322"/>
      <c r="AV33" s="322"/>
      <c r="AW33" s="322"/>
      <c r="AX33" s="322"/>
      <c r="AY33" s="322"/>
      <c r="AZ33" s="322"/>
      <c r="BA33" s="324"/>
      <c r="BB33" s="322"/>
      <c r="BC33" s="322"/>
      <c r="BD33" s="322"/>
      <c r="BE33" s="322"/>
      <c r="BF33" s="322"/>
      <c r="BG33" s="322"/>
      <c r="BH33" s="324"/>
      <c r="BI33" s="400"/>
      <c r="BJ33" s="400"/>
      <c r="BK33" s="400"/>
      <c r="BL33" s="400"/>
      <c r="BM33" s="400"/>
      <c r="BN33" s="400"/>
      <c r="BO33" s="400"/>
      <c r="BP33" s="400"/>
      <c r="BQ33" s="401"/>
      <c r="BR33" s="402"/>
      <c r="BS33" s="389">
        <f t="shared" si="5"/>
        <v>0</v>
      </c>
    </row>
    <row r="34" spans="1:71" s="403" customFormat="1" hidden="1">
      <c r="A34" s="437"/>
      <c r="B34" s="322"/>
      <c r="C34" s="324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4"/>
      <c r="T34" s="324"/>
      <c r="U34" s="325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  <c r="AL34" s="322"/>
      <c r="AM34" s="322"/>
      <c r="AN34" s="324"/>
      <c r="AO34" s="324"/>
      <c r="AP34" s="323"/>
      <c r="AQ34" s="322"/>
      <c r="AR34" s="322"/>
      <c r="AS34" s="322"/>
      <c r="AT34" s="322"/>
      <c r="AU34" s="322"/>
      <c r="AV34" s="322"/>
      <c r="AW34" s="322"/>
      <c r="AX34" s="322"/>
      <c r="AY34" s="322"/>
      <c r="AZ34" s="322"/>
      <c r="BA34" s="324"/>
      <c r="BB34" s="322"/>
      <c r="BC34" s="322"/>
      <c r="BD34" s="322"/>
      <c r="BE34" s="322"/>
      <c r="BF34" s="322"/>
      <c r="BG34" s="322"/>
      <c r="BH34" s="324"/>
      <c r="BI34" s="400"/>
      <c r="BJ34" s="400"/>
      <c r="BK34" s="400"/>
      <c r="BL34" s="400"/>
      <c r="BM34" s="400"/>
      <c r="BN34" s="400"/>
      <c r="BO34" s="400"/>
      <c r="BP34" s="400"/>
      <c r="BQ34" s="401"/>
      <c r="BR34" s="402"/>
      <c r="BS34" s="389">
        <f t="shared" si="5"/>
        <v>0</v>
      </c>
    </row>
    <row r="35" spans="1:71" s="403" customFormat="1" hidden="1">
      <c r="A35" s="437"/>
      <c r="B35" s="322"/>
      <c r="C35" s="324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4"/>
      <c r="T35" s="324"/>
      <c r="U35" s="325"/>
      <c r="V35" s="322"/>
      <c r="W35" s="322"/>
      <c r="X35" s="322"/>
      <c r="Y35" s="322"/>
      <c r="Z35" s="322"/>
      <c r="AA35" s="322"/>
      <c r="AB35" s="322"/>
      <c r="AC35" s="322"/>
      <c r="AD35" s="322"/>
      <c r="AE35" s="322"/>
      <c r="AF35" s="322"/>
      <c r="AG35" s="322"/>
      <c r="AH35" s="322"/>
      <c r="AI35" s="322"/>
      <c r="AJ35" s="322"/>
      <c r="AK35" s="322"/>
      <c r="AL35" s="322"/>
      <c r="AM35" s="322"/>
      <c r="AN35" s="324"/>
      <c r="AO35" s="324"/>
      <c r="AP35" s="323"/>
      <c r="AQ35" s="322"/>
      <c r="AR35" s="322"/>
      <c r="AS35" s="322"/>
      <c r="AT35" s="322"/>
      <c r="AU35" s="322"/>
      <c r="AV35" s="322"/>
      <c r="AW35" s="322"/>
      <c r="AX35" s="322"/>
      <c r="AY35" s="322"/>
      <c r="AZ35" s="322"/>
      <c r="BA35" s="324"/>
      <c r="BB35" s="322"/>
      <c r="BC35" s="322"/>
      <c r="BD35" s="322"/>
      <c r="BE35" s="322"/>
      <c r="BF35" s="322"/>
      <c r="BG35" s="322"/>
      <c r="BH35" s="324"/>
      <c r="BI35" s="400"/>
      <c r="BJ35" s="400"/>
      <c r="BK35" s="400"/>
      <c r="BL35" s="400"/>
      <c r="BM35" s="400"/>
      <c r="BN35" s="400"/>
      <c r="BO35" s="400"/>
      <c r="BP35" s="400"/>
      <c r="BQ35" s="401"/>
      <c r="BR35" s="402"/>
      <c r="BS35" s="389">
        <f t="shared" si="5"/>
        <v>0</v>
      </c>
    </row>
    <row r="36" spans="1:71" s="403" customFormat="1" hidden="1">
      <c r="A36" s="437"/>
      <c r="B36" s="322"/>
      <c r="C36" s="324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4"/>
      <c r="T36" s="324"/>
      <c r="U36" s="325"/>
      <c r="V36" s="322"/>
      <c r="W36" s="322"/>
      <c r="X36" s="322"/>
      <c r="Y36" s="322"/>
      <c r="Z36" s="322"/>
      <c r="AA36" s="322"/>
      <c r="AB36" s="322"/>
      <c r="AC36" s="322"/>
      <c r="AD36" s="322"/>
      <c r="AE36" s="322"/>
      <c r="AF36" s="322"/>
      <c r="AG36" s="322"/>
      <c r="AH36" s="322"/>
      <c r="AI36" s="322"/>
      <c r="AJ36" s="322"/>
      <c r="AK36" s="322"/>
      <c r="AL36" s="322"/>
      <c r="AM36" s="322"/>
      <c r="AN36" s="324"/>
      <c r="AO36" s="324"/>
      <c r="AP36" s="323"/>
      <c r="AQ36" s="322"/>
      <c r="AR36" s="322"/>
      <c r="AS36" s="322"/>
      <c r="AT36" s="322"/>
      <c r="AU36" s="322"/>
      <c r="AV36" s="322"/>
      <c r="AW36" s="322"/>
      <c r="AX36" s="322"/>
      <c r="AY36" s="322"/>
      <c r="AZ36" s="322"/>
      <c r="BA36" s="324"/>
      <c r="BB36" s="322"/>
      <c r="BC36" s="322"/>
      <c r="BD36" s="322"/>
      <c r="BE36" s="322"/>
      <c r="BF36" s="322"/>
      <c r="BG36" s="322"/>
      <c r="BH36" s="324"/>
      <c r="BI36" s="400"/>
      <c r="BJ36" s="400"/>
      <c r="BK36" s="400"/>
      <c r="BL36" s="400"/>
      <c r="BM36" s="400"/>
      <c r="BN36" s="400"/>
      <c r="BO36" s="400"/>
      <c r="BP36" s="400"/>
      <c r="BQ36" s="401"/>
      <c r="BR36" s="402"/>
      <c r="BS36" s="389">
        <f t="shared" si="5"/>
        <v>0</v>
      </c>
    </row>
    <row r="37" spans="1:71" s="403" customFormat="1" ht="7.5" hidden="1" thickBot="1">
      <c r="A37" s="326"/>
      <c r="B37" s="322"/>
      <c r="C37" s="324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4"/>
      <c r="T37" s="324"/>
      <c r="U37" s="325"/>
      <c r="V37" s="322"/>
      <c r="W37" s="322"/>
      <c r="X37" s="322"/>
      <c r="Y37" s="322"/>
      <c r="Z37" s="322"/>
      <c r="AA37" s="322"/>
      <c r="AB37" s="322"/>
      <c r="AC37" s="322"/>
      <c r="AD37" s="322"/>
      <c r="AE37" s="322"/>
      <c r="AF37" s="322"/>
      <c r="AG37" s="322"/>
      <c r="AH37" s="322"/>
      <c r="AI37" s="322"/>
      <c r="AJ37" s="322"/>
      <c r="AK37" s="322"/>
      <c r="AL37" s="322"/>
      <c r="AM37" s="322"/>
      <c r="AN37" s="324"/>
      <c r="AO37" s="324"/>
      <c r="AP37" s="323"/>
      <c r="AQ37" s="322"/>
      <c r="AR37" s="322"/>
      <c r="AS37" s="322"/>
      <c r="AT37" s="322"/>
      <c r="AU37" s="322"/>
      <c r="AV37" s="322"/>
      <c r="AW37" s="322"/>
      <c r="AX37" s="322"/>
      <c r="AY37" s="322"/>
      <c r="AZ37" s="322"/>
      <c r="BA37" s="324"/>
      <c r="BB37" s="322"/>
      <c r="BC37" s="322"/>
      <c r="BD37" s="322"/>
      <c r="BE37" s="322"/>
      <c r="BF37" s="322"/>
      <c r="BG37" s="322"/>
      <c r="BH37" s="324"/>
      <c r="BI37" s="400"/>
      <c r="BJ37" s="400"/>
      <c r="BK37" s="400"/>
      <c r="BL37" s="400"/>
      <c r="BM37" s="400"/>
      <c r="BN37" s="400"/>
      <c r="BO37" s="400"/>
      <c r="BP37" s="400"/>
      <c r="BQ37" s="401"/>
      <c r="BR37" s="402"/>
      <c r="BS37" s="389">
        <f t="shared" si="5"/>
        <v>0</v>
      </c>
    </row>
    <row r="38" spans="1:71" ht="11.5" thickTop="1" thickBot="1">
      <c r="A38" s="112" t="s">
        <v>79</v>
      </c>
      <c r="B38" s="57">
        <f t="shared" ref="B38:J38" si="6">SUM(B6:B35)</f>
        <v>0</v>
      </c>
      <c r="C38" s="81">
        <f t="shared" si="6"/>
        <v>0</v>
      </c>
      <c r="D38" s="57">
        <f t="shared" si="6"/>
        <v>0</v>
      </c>
      <c r="E38" s="57">
        <f t="shared" si="6"/>
        <v>0</v>
      </c>
      <c r="F38" s="57">
        <f t="shared" si="6"/>
        <v>0</v>
      </c>
      <c r="G38" s="57">
        <f t="shared" si="6"/>
        <v>23.98</v>
      </c>
      <c r="H38" s="57">
        <f t="shared" si="6"/>
        <v>29.99</v>
      </c>
      <c r="I38" s="57">
        <f t="shared" si="6"/>
        <v>0</v>
      </c>
      <c r="J38" s="57">
        <f t="shared" si="6"/>
        <v>0</v>
      </c>
      <c r="K38" s="57">
        <f t="shared" ref="K38:W38" si="7">SUM(K6:K35)</f>
        <v>0</v>
      </c>
      <c r="L38" s="57">
        <f t="shared" si="7"/>
        <v>0</v>
      </c>
      <c r="M38" s="57">
        <f>SUM(M6:M35)</f>
        <v>0</v>
      </c>
      <c r="N38" s="57">
        <f>SUM(N6:N35)</f>
        <v>723.08</v>
      </c>
      <c r="O38" s="57">
        <f>SUM(O6:O35)</f>
        <v>65</v>
      </c>
      <c r="P38" s="57">
        <f t="shared" si="7"/>
        <v>1666.4</v>
      </c>
      <c r="Q38" s="57">
        <f t="shared" si="7"/>
        <v>65.98</v>
      </c>
      <c r="R38" s="57">
        <f t="shared" si="7"/>
        <v>0</v>
      </c>
      <c r="S38" s="81">
        <f t="shared" si="7"/>
        <v>0</v>
      </c>
      <c r="T38" s="81">
        <f t="shared" si="7"/>
        <v>0</v>
      </c>
      <c r="U38" s="224">
        <f t="shared" si="7"/>
        <v>0</v>
      </c>
      <c r="V38" s="57">
        <f t="shared" si="7"/>
        <v>0</v>
      </c>
      <c r="W38" s="57">
        <f t="shared" si="7"/>
        <v>0</v>
      </c>
      <c r="X38" s="57">
        <f t="shared" ref="X38:BQ38" si="8">SUM(X6:X35)</f>
        <v>0</v>
      </c>
      <c r="Y38" s="57">
        <f t="shared" si="8"/>
        <v>0</v>
      </c>
      <c r="Z38" s="57">
        <f t="shared" si="8"/>
        <v>0</v>
      </c>
      <c r="AA38" s="57">
        <f t="shared" si="8"/>
        <v>0</v>
      </c>
      <c r="AB38" s="57">
        <f t="shared" si="8"/>
        <v>0</v>
      </c>
      <c r="AC38" s="57">
        <f t="shared" si="8"/>
        <v>0</v>
      </c>
      <c r="AD38" s="57">
        <f t="shared" si="8"/>
        <v>0</v>
      </c>
      <c r="AE38" s="57">
        <f t="shared" si="8"/>
        <v>0</v>
      </c>
      <c r="AF38" s="57">
        <f>SUM(AF6:AF37)</f>
        <v>0</v>
      </c>
      <c r="AG38" s="57">
        <f t="shared" si="8"/>
        <v>0</v>
      </c>
      <c r="AH38" s="57">
        <f t="shared" si="8"/>
        <v>0</v>
      </c>
      <c r="AI38" s="57">
        <f t="shared" si="8"/>
        <v>0</v>
      </c>
      <c r="AJ38" s="57">
        <f t="shared" si="8"/>
        <v>0</v>
      </c>
      <c r="AK38" s="57">
        <f t="shared" si="8"/>
        <v>0</v>
      </c>
      <c r="AL38" s="57">
        <f t="shared" si="8"/>
        <v>0</v>
      </c>
      <c r="AM38" s="57">
        <f t="shared" si="8"/>
        <v>0</v>
      </c>
      <c r="AN38" s="81">
        <f t="shared" si="8"/>
        <v>0</v>
      </c>
      <c r="AO38" s="81">
        <f>SUM(AO6:AO37)</f>
        <v>15</v>
      </c>
      <c r="AP38" s="111">
        <f t="shared" si="8"/>
        <v>0</v>
      </c>
      <c r="AQ38" s="57">
        <f t="shared" si="8"/>
        <v>0</v>
      </c>
      <c r="AR38" s="57">
        <f t="shared" si="8"/>
        <v>0</v>
      </c>
      <c r="AS38" s="57">
        <f t="shared" si="8"/>
        <v>0</v>
      </c>
      <c r="AT38" s="57">
        <f t="shared" si="8"/>
        <v>0</v>
      </c>
      <c r="AU38" s="57">
        <f t="shared" si="8"/>
        <v>0</v>
      </c>
      <c r="AV38" s="57">
        <f t="shared" si="8"/>
        <v>0</v>
      </c>
      <c r="AW38" s="57">
        <f t="shared" si="8"/>
        <v>0</v>
      </c>
      <c r="AX38" s="57">
        <f t="shared" si="8"/>
        <v>0</v>
      </c>
      <c r="AY38" s="57">
        <f t="shared" si="8"/>
        <v>0</v>
      </c>
      <c r="AZ38" s="57">
        <f t="shared" si="8"/>
        <v>0</v>
      </c>
      <c r="BA38" s="81">
        <f t="shared" si="8"/>
        <v>144</v>
      </c>
      <c r="BB38" s="57">
        <f t="shared" si="8"/>
        <v>0</v>
      </c>
      <c r="BC38" s="57">
        <f t="shared" si="8"/>
        <v>0</v>
      </c>
      <c r="BD38" s="57">
        <f>SUM(BD6:BD35)</f>
        <v>0</v>
      </c>
      <c r="BE38" s="57">
        <f>SUM(BE6:BE35)</f>
        <v>0</v>
      </c>
      <c r="BF38" s="57">
        <f t="shared" si="8"/>
        <v>0</v>
      </c>
      <c r="BG38" s="57">
        <f t="shared" si="8"/>
        <v>0</v>
      </c>
      <c r="BH38" s="57">
        <f t="shared" si="8"/>
        <v>0</v>
      </c>
      <c r="BI38" s="57">
        <f t="shared" si="8"/>
        <v>0</v>
      </c>
      <c r="BJ38" s="57">
        <f t="shared" si="8"/>
        <v>0</v>
      </c>
      <c r="BK38" s="57">
        <f t="shared" si="8"/>
        <v>0</v>
      </c>
      <c r="BL38" s="57">
        <f t="shared" si="8"/>
        <v>0</v>
      </c>
      <c r="BM38" s="57">
        <f t="shared" si="8"/>
        <v>0</v>
      </c>
      <c r="BN38" s="57">
        <f t="shared" si="8"/>
        <v>0</v>
      </c>
      <c r="BO38" s="57">
        <f t="shared" si="8"/>
        <v>0</v>
      </c>
      <c r="BP38" s="57">
        <f>SUM(BP6:BP35)</f>
        <v>0</v>
      </c>
      <c r="BQ38" s="117">
        <f t="shared" si="8"/>
        <v>0</v>
      </c>
      <c r="BR38" s="44"/>
      <c r="BS38" s="249">
        <f>SUM(B38:BQ38)</f>
        <v>2733.4300000000003</v>
      </c>
    </row>
    <row r="39" spans="1:71" ht="11.5" thickTop="1" thickBot="1">
      <c r="A39" s="118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</row>
    <row r="40" spans="1:71" s="58" customFormat="1" ht="11" thickTop="1">
      <c r="A40" s="207" t="s">
        <v>112</v>
      </c>
      <c r="B40" s="18" t="str">
        <f>B$4</f>
        <v>Insurance</v>
      </c>
      <c r="C40" s="13" t="str">
        <f t="shared" ref="C40:BP40" si="9">C$4</f>
        <v>Licence</v>
      </c>
      <c r="D40" s="18" t="str">
        <f t="shared" si="9"/>
        <v>Mooring</v>
      </c>
      <c r="E40" s="18" t="str">
        <f t="shared" si="9"/>
        <v>RCR</v>
      </c>
      <c r="F40" s="18" t="str">
        <f t="shared" si="9"/>
        <v>DRK</v>
      </c>
      <c r="G40" s="18" t="str">
        <f t="shared" si="9"/>
        <v>DRK</v>
      </c>
      <c r="H40" s="18" t="str">
        <f t="shared" si="9"/>
        <v>DRK</v>
      </c>
      <c r="I40" s="18" t="str">
        <f t="shared" si="9"/>
        <v>DRK</v>
      </c>
      <c r="J40" s="18" t="str">
        <f t="shared" si="9"/>
        <v>Atlass</v>
      </c>
      <c r="K40" s="18" t="str">
        <f t="shared" si="9"/>
        <v>DRK</v>
      </c>
      <c r="L40" s="18" t="str">
        <f t="shared" si="9"/>
        <v>SB</v>
      </c>
      <c r="M40" s="18" t="str">
        <f t="shared" si="9"/>
        <v>James</v>
      </c>
      <c r="N40" s="18" t="str">
        <f t="shared" si="9"/>
        <v>PB</v>
      </c>
      <c r="O40" s="18" t="str">
        <f t="shared" si="9"/>
        <v>Atlass</v>
      </c>
      <c r="P40" s="18" t="str">
        <f t="shared" si="9"/>
        <v>RCR</v>
      </c>
      <c r="Q40" s="18" t="str">
        <f t="shared" si="9"/>
        <v>DRK</v>
      </c>
      <c r="R40" s="18" t="str">
        <f t="shared" si="9"/>
        <v>DRK</v>
      </c>
      <c r="S40" s="18" t="str">
        <f t="shared" si="9"/>
        <v>Atlass</v>
      </c>
      <c r="T40" s="18" t="str">
        <f t="shared" si="9"/>
        <v>Martins</v>
      </c>
      <c r="U40" s="18" t="str">
        <f t="shared" si="9"/>
        <v>unscheduled</v>
      </c>
      <c r="V40" s="18" t="str">
        <f t="shared" si="9"/>
        <v>unscheduled</v>
      </c>
      <c r="W40" s="18" t="str">
        <f t="shared" si="9"/>
        <v>James</v>
      </c>
      <c r="X40" s="18" t="str">
        <f t="shared" si="9"/>
        <v>unscheduled</v>
      </c>
      <c r="Y40" s="18" t="str">
        <f t="shared" si="9"/>
        <v>unscheduled</v>
      </c>
      <c r="Z40" s="18" t="str">
        <f t="shared" si="9"/>
        <v>unscheduled</v>
      </c>
      <c r="AA40" s="18" t="str">
        <f t="shared" si="9"/>
        <v>unscheduled</v>
      </c>
      <c r="AB40" s="18" t="str">
        <f t="shared" si="9"/>
        <v>unscheduled</v>
      </c>
      <c r="AC40" s="18" t="str">
        <f t="shared" si="9"/>
        <v>unscheduled</v>
      </c>
      <c r="AD40" s="18" t="str">
        <f t="shared" si="9"/>
        <v>unscheduled</v>
      </c>
      <c r="AE40" s="18" t="str">
        <f t="shared" si="9"/>
        <v>unscheduled</v>
      </c>
      <c r="AF40" s="18" t="str">
        <f t="shared" si="9"/>
        <v>Brough</v>
      </c>
      <c r="AG40" s="18" t="str">
        <f t="shared" si="9"/>
        <v>unscheduled</v>
      </c>
      <c r="AH40" s="18" t="str">
        <f t="shared" si="9"/>
        <v>unscheduled</v>
      </c>
      <c r="AI40" s="18" t="str">
        <f t="shared" si="9"/>
        <v>unscheduled</v>
      </c>
      <c r="AJ40" s="18" t="str">
        <f t="shared" si="9"/>
        <v>unscheduled</v>
      </c>
      <c r="AK40" s="18" t="str">
        <f t="shared" si="9"/>
        <v>unscheduled</v>
      </c>
      <c r="AL40" s="18" t="str">
        <f t="shared" si="9"/>
        <v>unscheduled</v>
      </c>
      <c r="AM40" s="18" t="str">
        <f t="shared" si="9"/>
        <v>James</v>
      </c>
      <c r="AN40" s="13" t="str">
        <f t="shared" si="9"/>
        <v>Martins</v>
      </c>
      <c r="AO40" s="13" t="str">
        <f t="shared" si="9"/>
        <v>Atlass</v>
      </c>
      <c r="AP40" s="20" t="str">
        <f t="shared" si="9"/>
        <v>unscheduled</v>
      </c>
      <c r="AQ40" s="18" t="str">
        <f t="shared" si="9"/>
        <v>unscheduled</v>
      </c>
      <c r="AR40" s="18" t="str">
        <f t="shared" si="9"/>
        <v>unscheduled</v>
      </c>
      <c r="AS40" s="18" t="str">
        <f t="shared" si="9"/>
        <v>DB</v>
      </c>
      <c r="AT40" s="18" t="str">
        <f t="shared" si="9"/>
        <v>unscheduled</v>
      </c>
      <c r="AU40" s="18" t="str">
        <f t="shared" si="9"/>
        <v>unscheduled</v>
      </c>
      <c r="AV40" s="18" t="str">
        <f t="shared" si="9"/>
        <v>PB</v>
      </c>
      <c r="AW40" s="18" t="str">
        <f t="shared" si="9"/>
        <v>unscheduled</v>
      </c>
      <c r="AX40" s="18" t="str">
        <f t="shared" si="9"/>
        <v>DRK</v>
      </c>
      <c r="AY40" s="18" t="str">
        <f t="shared" si="9"/>
        <v>Licence</v>
      </c>
      <c r="AZ40" s="18" t="str">
        <f t="shared" si="9"/>
        <v>DRK-8</v>
      </c>
      <c r="BA40" s="13" t="str">
        <f t="shared" si="9"/>
        <v>PB</v>
      </c>
      <c r="BB40" s="20" t="str">
        <f t="shared" si="9"/>
        <v>DRK-9</v>
      </c>
      <c r="BC40" s="18" t="str">
        <f t="shared" si="9"/>
        <v>unscheduled</v>
      </c>
      <c r="BD40" s="18" t="str">
        <f t="shared" si="9"/>
        <v>unscheduled</v>
      </c>
      <c r="BE40" s="18" t="str">
        <f t="shared" si="9"/>
        <v>unscheduled</v>
      </c>
      <c r="BF40" s="18" t="str">
        <f t="shared" si="9"/>
        <v>unscheduled</v>
      </c>
      <c r="BG40" s="18" t="str">
        <f t="shared" si="9"/>
        <v>unscheduled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si="9"/>
        <v>0</v>
      </c>
      <c r="BL40" s="18">
        <f t="shared" si="9"/>
        <v>0</v>
      </c>
      <c r="BM40" s="18">
        <f t="shared" si="9"/>
        <v>0</v>
      </c>
      <c r="BN40" s="18">
        <f t="shared" si="9"/>
        <v>0</v>
      </c>
      <c r="BO40" s="18">
        <f t="shared" si="9"/>
        <v>0</v>
      </c>
      <c r="BP40" s="18">
        <f t="shared" si="9"/>
        <v>0</v>
      </c>
      <c r="BQ40" s="59">
        <f>MAINTENANCE!BP17</f>
        <v>0</v>
      </c>
      <c r="BR40" s="15"/>
      <c r="BS40" s="14"/>
    </row>
    <row r="41" spans="1:71" ht="7.5" thickBot="1">
      <c r="A41" s="226"/>
      <c r="B41" s="152">
        <f>B$5</f>
        <v>45341</v>
      </c>
      <c r="C41" s="153">
        <f t="shared" ref="C41:BP41" si="10">C$5</f>
        <v>45599</v>
      </c>
      <c r="D41" s="152">
        <f t="shared" si="10"/>
        <v>45606</v>
      </c>
      <c r="E41" s="152">
        <f t="shared" si="10"/>
        <v>45490</v>
      </c>
      <c r="F41" s="152">
        <f t="shared" si="10"/>
        <v>45323</v>
      </c>
      <c r="G41" s="152">
        <f t="shared" si="10"/>
        <v>45372</v>
      </c>
      <c r="H41" s="152">
        <f t="shared" si="10"/>
        <v>45396</v>
      </c>
      <c r="I41" s="152">
        <f t="shared" si="10"/>
        <v>44805</v>
      </c>
      <c r="J41" s="152">
        <f t="shared" si="10"/>
        <v>45401</v>
      </c>
      <c r="K41" s="152">
        <f t="shared" si="10"/>
        <v>45425</v>
      </c>
      <c r="L41" s="152">
        <f t="shared" si="10"/>
        <v>45407</v>
      </c>
      <c r="M41" s="152">
        <f t="shared" si="10"/>
        <v>45556</v>
      </c>
      <c r="N41" s="152" t="str">
        <f t="shared" si="10"/>
        <v>25-09.24</v>
      </c>
      <c r="O41" s="152">
        <f t="shared" si="10"/>
        <v>45498</v>
      </c>
      <c r="P41" s="152">
        <f t="shared" si="10"/>
        <v>45582</v>
      </c>
      <c r="Q41" s="152">
        <f t="shared" si="10"/>
        <v>45612</v>
      </c>
      <c r="R41" s="152">
        <f t="shared" si="10"/>
        <v>45612</v>
      </c>
      <c r="S41" s="152">
        <f t="shared" si="10"/>
        <v>45590</v>
      </c>
      <c r="T41" s="152">
        <f t="shared" si="10"/>
        <v>45414</v>
      </c>
      <c r="U41" s="152">
        <f t="shared" si="10"/>
        <v>45421</v>
      </c>
      <c r="V41" s="152">
        <f t="shared" si="10"/>
        <v>45428</v>
      </c>
      <c r="W41" s="152">
        <f t="shared" si="10"/>
        <v>45435</v>
      </c>
      <c r="X41" s="152">
        <f t="shared" si="10"/>
        <v>45442</v>
      </c>
      <c r="Y41" s="152">
        <f t="shared" si="10"/>
        <v>45449</v>
      </c>
      <c r="Z41" s="152">
        <f t="shared" si="10"/>
        <v>45456</v>
      </c>
      <c r="AA41" s="152">
        <f t="shared" si="10"/>
        <v>45463</v>
      </c>
      <c r="AB41" s="152">
        <f t="shared" si="10"/>
        <v>45470</v>
      </c>
      <c r="AC41" s="152">
        <f t="shared" si="10"/>
        <v>45477</v>
      </c>
      <c r="AD41" s="152">
        <f t="shared" si="10"/>
        <v>45484</v>
      </c>
      <c r="AE41" s="152">
        <f t="shared" si="10"/>
        <v>45491</v>
      </c>
      <c r="AF41" s="152">
        <f t="shared" si="10"/>
        <v>45498</v>
      </c>
      <c r="AG41" s="152">
        <f t="shared" si="10"/>
        <v>45505</v>
      </c>
      <c r="AH41" s="152">
        <f t="shared" si="10"/>
        <v>45512</v>
      </c>
      <c r="AI41" s="152">
        <f t="shared" si="10"/>
        <v>45519</v>
      </c>
      <c r="AJ41" s="152">
        <f t="shared" si="10"/>
        <v>45526</v>
      </c>
      <c r="AK41" s="152">
        <f t="shared" si="10"/>
        <v>45533</v>
      </c>
      <c r="AL41" s="152">
        <f t="shared" si="10"/>
        <v>45540</v>
      </c>
      <c r="AM41" s="152">
        <f t="shared" si="10"/>
        <v>45547</v>
      </c>
      <c r="AN41" s="153">
        <f t="shared" si="10"/>
        <v>45554</v>
      </c>
      <c r="AO41" s="153">
        <f t="shared" si="10"/>
        <v>45561</v>
      </c>
      <c r="AP41" s="151">
        <f t="shared" si="10"/>
        <v>45568</v>
      </c>
      <c r="AQ41" s="152">
        <f t="shared" si="10"/>
        <v>45575</v>
      </c>
      <c r="AR41" s="152">
        <f t="shared" si="10"/>
        <v>45582</v>
      </c>
      <c r="AS41" s="152">
        <f t="shared" si="10"/>
        <v>45589</v>
      </c>
      <c r="AT41" s="152">
        <f t="shared" si="10"/>
        <v>45596</v>
      </c>
      <c r="AU41" s="152">
        <f t="shared" si="10"/>
        <v>45603</v>
      </c>
      <c r="AV41" s="152">
        <f t="shared" si="10"/>
        <v>45610</v>
      </c>
      <c r="AW41" s="152">
        <f t="shared" si="10"/>
        <v>45617</v>
      </c>
      <c r="AX41" s="152">
        <f t="shared" si="10"/>
        <v>45624</v>
      </c>
      <c r="AY41" s="152">
        <f t="shared" si="10"/>
        <v>45631</v>
      </c>
      <c r="AZ41" s="152">
        <f t="shared" si="10"/>
        <v>45638</v>
      </c>
      <c r="BA41" s="153">
        <f t="shared" si="10"/>
        <v>45674</v>
      </c>
      <c r="BB41" s="151">
        <f t="shared" si="10"/>
        <v>45681</v>
      </c>
      <c r="BC41" s="152">
        <f t="shared" si="10"/>
        <v>45688</v>
      </c>
      <c r="BD41" s="152">
        <f t="shared" si="10"/>
        <v>45695</v>
      </c>
      <c r="BE41" s="152">
        <f t="shared" si="10"/>
        <v>45702</v>
      </c>
      <c r="BF41" s="152">
        <f t="shared" si="10"/>
        <v>45709</v>
      </c>
      <c r="BG41" s="152">
        <f t="shared" si="10"/>
        <v>45716</v>
      </c>
      <c r="BH41" s="152">
        <f t="shared" si="10"/>
        <v>0</v>
      </c>
      <c r="BI41" s="152">
        <f t="shared" si="10"/>
        <v>0</v>
      </c>
      <c r="BJ41" s="152">
        <f t="shared" si="10"/>
        <v>0</v>
      </c>
      <c r="BK41" s="152">
        <f t="shared" si="10"/>
        <v>0</v>
      </c>
      <c r="BL41" s="152">
        <f t="shared" si="10"/>
        <v>0</v>
      </c>
      <c r="BM41" s="152">
        <f t="shared" si="10"/>
        <v>0</v>
      </c>
      <c r="BN41" s="152">
        <f t="shared" si="10"/>
        <v>0</v>
      </c>
      <c r="BO41" s="152">
        <f t="shared" si="10"/>
        <v>0</v>
      </c>
      <c r="BP41" s="152">
        <f t="shared" si="10"/>
        <v>0</v>
      </c>
      <c r="BQ41" s="154">
        <f>MAINTENANCE!BP18</f>
        <v>0</v>
      </c>
      <c r="BR41" s="15"/>
      <c r="BS41" s="14"/>
    </row>
    <row r="42" spans="1:71" ht="7.5" thickTop="1">
      <c r="A42" s="623" t="s">
        <v>161</v>
      </c>
      <c r="B42" s="318"/>
      <c r="C42" s="320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20"/>
      <c r="T42" s="320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20"/>
      <c r="AO42" s="320"/>
      <c r="AP42" s="319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20"/>
      <c r="BB42" s="319"/>
      <c r="BC42" s="318"/>
      <c r="BD42" s="318"/>
      <c r="BE42" s="318"/>
      <c r="BF42" s="318"/>
      <c r="BG42" s="318"/>
      <c r="BH42" s="320"/>
      <c r="BI42" s="51"/>
      <c r="BJ42" s="51"/>
      <c r="BK42" s="51"/>
      <c r="BL42" s="51"/>
      <c r="BM42" s="51"/>
      <c r="BN42" s="51"/>
      <c r="BO42" s="51"/>
      <c r="BP42" s="51"/>
      <c r="BQ42" s="56"/>
      <c r="BR42" s="44"/>
      <c r="BS42" s="43">
        <f>SUM(C42:BQ42)</f>
        <v>0</v>
      </c>
    </row>
    <row r="43" spans="1:71">
      <c r="A43" s="437"/>
      <c r="B43" s="322"/>
      <c r="C43" s="324"/>
      <c r="D43" s="322"/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2"/>
      <c r="P43" s="327"/>
      <c r="Q43" s="322"/>
      <c r="R43" s="322"/>
      <c r="S43" s="324"/>
      <c r="T43" s="324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  <c r="AL43" s="322"/>
      <c r="AM43" s="322"/>
      <c r="AN43" s="324"/>
      <c r="AO43" s="324"/>
      <c r="AP43" s="323"/>
      <c r="AQ43" s="322"/>
      <c r="AR43" s="322"/>
      <c r="AS43" s="322"/>
      <c r="AT43" s="322"/>
      <c r="AU43" s="322"/>
      <c r="AV43" s="322"/>
      <c r="AW43" s="322"/>
      <c r="AX43" s="322"/>
      <c r="AY43" s="322"/>
      <c r="AZ43" s="322"/>
      <c r="BA43" s="324"/>
      <c r="BB43" s="323"/>
      <c r="BC43" s="322"/>
      <c r="BD43" s="322"/>
      <c r="BE43" s="322"/>
      <c r="BF43" s="322"/>
      <c r="BG43" s="322"/>
      <c r="BH43" s="324"/>
      <c r="BI43" s="51"/>
      <c r="BJ43" s="51"/>
      <c r="BK43" s="51"/>
      <c r="BL43" s="51"/>
      <c r="BM43" s="51"/>
      <c r="BN43" s="51"/>
      <c r="BO43" s="51"/>
      <c r="BP43" s="51"/>
      <c r="BQ43" s="56"/>
      <c r="BR43" s="44"/>
      <c r="BS43" s="43">
        <f>SUM(C43:BQ43)</f>
        <v>0</v>
      </c>
    </row>
    <row r="44" spans="1:71" ht="7.5" thickBot="1">
      <c r="A44" s="328"/>
      <c r="B44" s="329"/>
      <c r="C44" s="331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31"/>
      <c r="T44" s="331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31"/>
      <c r="AO44" s="331"/>
      <c r="AP44" s="330"/>
      <c r="AQ44" s="329"/>
      <c r="AR44" s="329"/>
      <c r="AS44" s="329"/>
      <c r="AT44" s="329"/>
      <c r="AU44" s="329"/>
      <c r="AV44" s="329"/>
      <c r="AW44" s="329"/>
      <c r="AX44" s="329"/>
      <c r="AY44" s="329"/>
      <c r="AZ44" s="329"/>
      <c r="BA44" s="331"/>
      <c r="BB44" s="330"/>
      <c r="BC44" s="329"/>
      <c r="BD44" s="329"/>
      <c r="BE44" s="329"/>
      <c r="BF44" s="329"/>
      <c r="BG44" s="329"/>
      <c r="BH44" s="331"/>
      <c r="BI44" s="51"/>
      <c r="BJ44" s="51"/>
      <c r="BK44" s="51"/>
      <c r="BL44" s="51"/>
      <c r="BM44" s="51"/>
      <c r="BN44" s="51"/>
      <c r="BO44" s="51"/>
      <c r="BP44" s="51"/>
      <c r="BQ44" s="56"/>
      <c r="BR44" s="44"/>
      <c r="BS44" s="43">
        <f>SUM(C44:BQ44)</f>
        <v>0</v>
      </c>
    </row>
    <row r="45" spans="1:71" ht="11.5" thickTop="1" thickBot="1">
      <c r="A45" s="112" t="s">
        <v>77</v>
      </c>
      <c r="B45" s="57">
        <f t="shared" ref="B45:AJ45" si="11">SUM(B42:B44)</f>
        <v>0</v>
      </c>
      <c r="C45" s="81">
        <f t="shared" si="11"/>
        <v>0</v>
      </c>
      <c r="D45" s="57">
        <f t="shared" si="11"/>
        <v>0</v>
      </c>
      <c r="E45" s="57">
        <f t="shared" si="11"/>
        <v>0</v>
      </c>
      <c r="F45" s="57">
        <f t="shared" si="11"/>
        <v>0</v>
      </c>
      <c r="G45" s="57">
        <f t="shared" si="11"/>
        <v>0</v>
      </c>
      <c r="H45" s="57">
        <f t="shared" si="11"/>
        <v>0</v>
      </c>
      <c r="I45" s="57">
        <f t="shared" si="11"/>
        <v>0</v>
      </c>
      <c r="J45" s="57">
        <f t="shared" si="11"/>
        <v>0</v>
      </c>
      <c r="K45" s="57">
        <f t="shared" si="11"/>
        <v>0</v>
      </c>
      <c r="L45" s="57">
        <f t="shared" si="11"/>
        <v>0</v>
      </c>
      <c r="M45" s="57">
        <f t="shared" si="11"/>
        <v>0</v>
      </c>
      <c r="N45" s="57">
        <f t="shared" si="11"/>
        <v>0</v>
      </c>
      <c r="O45" s="57">
        <f t="shared" si="11"/>
        <v>0</v>
      </c>
      <c r="P45" s="57">
        <f t="shared" si="11"/>
        <v>0</v>
      </c>
      <c r="Q45" s="57">
        <f t="shared" si="11"/>
        <v>0</v>
      </c>
      <c r="R45" s="57">
        <f t="shared" si="11"/>
        <v>0</v>
      </c>
      <c r="S45" s="81">
        <f t="shared" si="11"/>
        <v>0</v>
      </c>
      <c r="T45" s="81">
        <f t="shared" si="11"/>
        <v>0</v>
      </c>
      <c r="U45" s="57">
        <f t="shared" si="11"/>
        <v>0</v>
      </c>
      <c r="V45" s="57">
        <f t="shared" si="11"/>
        <v>0</v>
      </c>
      <c r="W45" s="57">
        <f t="shared" si="11"/>
        <v>0</v>
      </c>
      <c r="X45" s="57">
        <f t="shared" si="11"/>
        <v>0</v>
      </c>
      <c r="Y45" s="57">
        <f t="shared" si="11"/>
        <v>0</v>
      </c>
      <c r="Z45" s="57">
        <f t="shared" si="11"/>
        <v>0</v>
      </c>
      <c r="AA45" s="57">
        <f t="shared" si="11"/>
        <v>0</v>
      </c>
      <c r="AB45" s="57">
        <f t="shared" si="11"/>
        <v>0</v>
      </c>
      <c r="AC45" s="57">
        <f t="shared" si="11"/>
        <v>0</v>
      </c>
      <c r="AD45" s="57">
        <f t="shared" si="11"/>
        <v>0</v>
      </c>
      <c r="AE45" s="57">
        <f t="shared" si="11"/>
        <v>0</v>
      </c>
      <c r="AF45" s="57">
        <f t="shared" si="11"/>
        <v>0</v>
      </c>
      <c r="AG45" s="57">
        <f t="shared" si="11"/>
        <v>0</v>
      </c>
      <c r="AH45" s="57">
        <f t="shared" si="11"/>
        <v>0</v>
      </c>
      <c r="AI45" s="57">
        <f t="shared" si="11"/>
        <v>0</v>
      </c>
      <c r="AJ45" s="57">
        <f t="shared" si="11"/>
        <v>0</v>
      </c>
      <c r="AK45" s="57">
        <f t="shared" ref="AK45:BO45" si="12">SUM(AK42:AK44)</f>
        <v>0</v>
      </c>
      <c r="AL45" s="57">
        <f t="shared" si="12"/>
        <v>0</v>
      </c>
      <c r="AM45" s="57">
        <f t="shared" si="12"/>
        <v>0</v>
      </c>
      <c r="AN45" s="81">
        <f t="shared" si="12"/>
        <v>0</v>
      </c>
      <c r="AO45" s="81">
        <f t="shared" si="12"/>
        <v>0</v>
      </c>
      <c r="AP45" s="111">
        <f t="shared" si="12"/>
        <v>0</v>
      </c>
      <c r="AQ45" s="57">
        <f t="shared" si="12"/>
        <v>0</v>
      </c>
      <c r="AR45" s="57">
        <f t="shared" si="12"/>
        <v>0</v>
      </c>
      <c r="AS45" s="57">
        <f t="shared" si="12"/>
        <v>0</v>
      </c>
      <c r="AT45" s="57">
        <f t="shared" si="12"/>
        <v>0</v>
      </c>
      <c r="AU45" s="57">
        <f t="shared" si="12"/>
        <v>0</v>
      </c>
      <c r="AV45" s="57">
        <f t="shared" si="12"/>
        <v>0</v>
      </c>
      <c r="AW45" s="57">
        <f t="shared" si="12"/>
        <v>0</v>
      </c>
      <c r="AX45" s="57">
        <f t="shared" si="12"/>
        <v>0</v>
      </c>
      <c r="AY45" s="57">
        <f t="shared" si="12"/>
        <v>0</v>
      </c>
      <c r="AZ45" s="57">
        <f t="shared" si="12"/>
        <v>0</v>
      </c>
      <c r="BA45" s="81">
        <f t="shared" si="12"/>
        <v>0</v>
      </c>
      <c r="BB45" s="111">
        <f t="shared" si="12"/>
        <v>0</v>
      </c>
      <c r="BC45" s="57">
        <f t="shared" si="12"/>
        <v>0</v>
      </c>
      <c r="BD45" s="57">
        <f>SUM(BD42:BD44)</f>
        <v>0</v>
      </c>
      <c r="BE45" s="57">
        <f>SUM(BE42:BE44)</f>
        <v>0</v>
      </c>
      <c r="BF45" s="57">
        <f t="shared" si="12"/>
        <v>0</v>
      </c>
      <c r="BG45" s="57">
        <f t="shared" si="12"/>
        <v>0</v>
      </c>
      <c r="BH45" s="57">
        <f t="shared" si="12"/>
        <v>0</v>
      </c>
      <c r="BI45" s="57">
        <f t="shared" si="12"/>
        <v>0</v>
      </c>
      <c r="BJ45" s="57">
        <f t="shared" si="12"/>
        <v>0</v>
      </c>
      <c r="BK45" s="57">
        <f t="shared" si="12"/>
        <v>0</v>
      </c>
      <c r="BL45" s="57">
        <f t="shared" si="12"/>
        <v>0</v>
      </c>
      <c r="BM45" s="57">
        <f t="shared" si="12"/>
        <v>0</v>
      </c>
      <c r="BN45" s="57">
        <f t="shared" si="12"/>
        <v>0</v>
      </c>
      <c r="BO45" s="57">
        <f t="shared" si="12"/>
        <v>0</v>
      </c>
      <c r="BP45" s="57">
        <f>SUM(BP42:BP44)</f>
        <v>0</v>
      </c>
      <c r="BQ45" s="117">
        <f>BQ42</f>
        <v>0</v>
      </c>
      <c r="BR45" s="44"/>
      <c r="BS45" s="249">
        <f>SUM(B45:BQ45)</f>
        <v>0</v>
      </c>
    </row>
    <row r="46" spans="1:71" ht="8" thickTop="1" thickBot="1">
      <c r="A46" s="11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91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1"/>
      <c r="BS46" s="1"/>
    </row>
    <row r="47" spans="1:71" s="58" customFormat="1" ht="11" hidden="1" thickTop="1">
      <c r="A47" s="207" t="s">
        <v>78</v>
      </c>
      <c r="B47" s="18" t="str">
        <f>B$4</f>
        <v>Insurance</v>
      </c>
      <c r="C47" s="20" t="str">
        <f t="shared" ref="C47:E48" si="13">C4</f>
        <v>Licence</v>
      </c>
      <c r="D47" s="18" t="str">
        <f t="shared" si="13"/>
        <v>Mooring</v>
      </c>
      <c r="E47" s="18" t="str">
        <f t="shared" si="13"/>
        <v>RCR</v>
      </c>
      <c r="F47" s="18" t="str">
        <f t="shared" ref="F47:AP47" si="14">F4</f>
        <v>DRK</v>
      </c>
      <c r="G47" s="18" t="str">
        <f t="shared" si="14"/>
        <v>DRK</v>
      </c>
      <c r="H47" s="18" t="str">
        <f t="shared" si="14"/>
        <v>DRK</v>
      </c>
      <c r="I47" s="18" t="str">
        <f t="shared" si="14"/>
        <v>DRK</v>
      </c>
      <c r="J47" s="18" t="str">
        <f t="shared" si="14"/>
        <v>Atlass</v>
      </c>
      <c r="K47" s="18" t="str">
        <f t="shared" si="14"/>
        <v>DRK</v>
      </c>
      <c r="L47" s="18" t="str">
        <f t="shared" si="14"/>
        <v>SB</v>
      </c>
      <c r="M47" s="18" t="str">
        <f t="shared" si="14"/>
        <v>James</v>
      </c>
      <c r="N47" s="18" t="str">
        <f t="shared" si="14"/>
        <v>PB</v>
      </c>
      <c r="O47" s="18" t="str">
        <f t="shared" si="14"/>
        <v>Atlass</v>
      </c>
      <c r="P47" s="18" t="str">
        <f t="shared" si="14"/>
        <v>RCR</v>
      </c>
      <c r="Q47" s="18" t="str">
        <f t="shared" si="14"/>
        <v>DRK</v>
      </c>
      <c r="R47" s="18" t="str">
        <f t="shared" si="14"/>
        <v>DRK</v>
      </c>
      <c r="S47" s="13" t="str">
        <f t="shared" si="14"/>
        <v>Atlass</v>
      </c>
      <c r="T47" s="13" t="str">
        <f t="shared" si="14"/>
        <v>Martins</v>
      </c>
      <c r="U47" s="18" t="str">
        <f t="shared" si="14"/>
        <v>unscheduled</v>
      </c>
      <c r="V47" s="18" t="str">
        <f t="shared" si="14"/>
        <v>unscheduled</v>
      </c>
      <c r="W47" s="18" t="str">
        <f t="shared" si="14"/>
        <v>James</v>
      </c>
      <c r="X47" s="18" t="str">
        <f t="shared" si="14"/>
        <v>unscheduled</v>
      </c>
      <c r="Y47" s="18" t="str">
        <f t="shared" si="14"/>
        <v>unscheduled</v>
      </c>
      <c r="Z47" s="18" t="str">
        <f>Z4</f>
        <v>unscheduled</v>
      </c>
      <c r="AA47" s="18" t="str">
        <f t="shared" si="14"/>
        <v>unscheduled</v>
      </c>
      <c r="AB47" s="18" t="str">
        <f t="shared" si="14"/>
        <v>unscheduled</v>
      </c>
      <c r="AC47" s="18" t="str">
        <f t="shared" si="14"/>
        <v>unscheduled</v>
      </c>
      <c r="AD47" s="18" t="str">
        <f>AD4</f>
        <v>unscheduled</v>
      </c>
      <c r="AE47" s="18" t="str">
        <f t="shared" si="14"/>
        <v>unscheduled</v>
      </c>
      <c r="AF47" s="18" t="str">
        <f t="shared" si="14"/>
        <v>Brough</v>
      </c>
      <c r="AG47" s="18" t="str">
        <f t="shared" si="14"/>
        <v>unscheduled</v>
      </c>
      <c r="AH47" s="18" t="str">
        <f t="shared" si="14"/>
        <v>unscheduled</v>
      </c>
      <c r="AI47" s="18" t="str">
        <f>AI4</f>
        <v>unscheduled</v>
      </c>
      <c r="AJ47" s="18" t="str">
        <f t="shared" si="14"/>
        <v>unscheduled</v>
      </c>
      <c r="AK47" s="18" t="str">
        <f t="shared" si="14"/>
        <v>unscheduled</v>
      </c>
      <c r="AL47" s="18" t="str">
        <f t="shared" si="14"/>
        <v>unscheduled</v>
      </c>
      <c r="AM47" s="18" t="str">
        <f t="shared" si="14"/>
        <v>James</v>
      </c>
      <c r="AN47" s="13" t="str">
        <f>AN4</f>
        <v>Martins</v>
      </c>
      <c r="AO47" s="13" t="str">
        <f>AO4</f>
        <v>Atlass</v>
      </c>
      <c r="AP47" s="20" t="str">
        <f t="shared" si="14"/>
        <v>unscheduled</v>
      </c>
      <c r="AQ47" s="18" t="str">
        <f t="shared" ref="AQ47:BN47" si="15">AQ4</f>
        <v>unscheduled</v>
      </c>
      <c r="AR47" s="18" t="str">
        <f t="shared" si="15"/>
        <v>unscheduled</v>
      </c>
      <c r="AS47" s="18" t="str">
        <f t="shared" si="15"/>
        <v>DB</v>
      </c>
      <c r="AT47" s="18" t="str">
        <f t="shared" si="15"/>
        <v>unscheduled</v>
      </c>
      <c r="AU47" s="18" t="str">
        <f t="shared" si="15"/>
        <v>unscheduled</v>
      </c>
      <c r="AV47" s="18" t="str">
        <f t="shared" si="15"/>
        <v>PB</v>
      </c>
      <c r="AW47" s="18" t="str">
        <f>AW4</f>
        <v>unscheduled</v>
      </c>
      <c r="AX47" s="18" t="str">
        <f t="shared" si="15"/>
        <v>DRK</v>
      </c>
      <c r="AY47" s="18" t="str">
        <f>AY4</f>
        <v>Licence</v>
      </c>
      <c r="AZ47" s="18" t="str">
        <f t="shared" si="15"/>
        <v>DRK-8</v>
      </c>
      <c r="BA47" s="13" t="str">
        <f t="shared" si="15"/>
        <v>PB</v>
      </c>
      <c r="BB47" s="20" t="str">
        <f>BB4</f>
        <v>DRK-9</v>
      </c>
      <c r="BC47" s="18" t="str">
        <f t="shared" si="15"/>
        <v>unscheduled</v>
      </c>
      <c r="BD47" s="18" t="str">
        <f t="shared" si="15"/>
        <v>unscheduled</v>
      </c>
      <c r="BE47" s="18" t="str">
        <f t="shared" si="15"/>
        <v>unscheduled</v>
      </c>
      <c r="BF47" s="18" t="str">
        <f>BF4</f>
        <v>unscheduled</v>
      </c>
      <c r="BG47" s="18" t="str">
        <f t="shared" si="15"/>
        <v>unscheduled</v>
      </c>
      <c r="BH47" s="18">
        <f t="shared" si="15"/>
        <v>0</v>
      </c>
      <c r="BI47" s="18">
        <f t="shared" si="15"/>
        <v>0</v>
      </c>
      <c r="BJ47" s="18">
        <f t="shared" si="15"/>
        <v>0</v>
      </c>
      <c r="BK47" s="18">
        <f t="shared" si="15"/>
        <v>0</v>
      </c>
      <c r="BL47" s="18">
        <f t="shared" si="15"/>
        <v>0</v>
      </c>
      <c r="BM47" s="18">
        <f>BM4</f>
        <v>0</v>
      </c>
      <c r="BN47" s="18">
        <f t="shared" si="15"/>
        <v>0</v>
      </c>
      <c r="BO47" s="18">
        <f>BO4</f>
        <v>0</v>
      </c>
      <c r="BP47" s="18">
        <f>BP4</f>
        <v>0</v>
      </c>
      <c r="BQ47" s="59">
        <f>MAINTENANCE!BP28</f>
        <v>0</v>
      </c>
      <c r="BR47" s="15"/>
      <c r="BS47" s="14"/>
    </row>
    <row r="48" spans="1:71" ht="7.5" hidden="1" thickBot="1">
      <c r="A48" s="683"/>
      <c r="B48" s="152">
        <f>B$5</f>
        <v>45341</v>
      </c>
      <c r="C48" s="151">
        <f t="shared" si="13"/>
        <v>45599</v>
      </c>
      <c r="D48" s="152">
        <f t="shared" si="13"/>
        <v>45606</v>
      </c>
      <c r="E48" s="152">
        <f t="shared" si="13"/>
        <v>45490</v>
      </c>
      <c r="F48" s="152">
        <f t="shared" ref="F48:AP48" si="16">F5</f>
        <v>45323</v>
      </c>
      <c r="G48" s="152">
        <f t="shared" si="16"/>
        <v>45372</v>
      </c>
      <c r="H48" s="152">
        <f t="shared" si="16"/>
        <v>45396</v>
      </c>
      <c r="I48" s="152">
        <f t="shared" si="16"/>
        <v>44805</v>
      </c>
      <c r="J48" s="152">
        <f t="shared" si="16"/>
        <v>45401</v>
      </c>
      <c r="K48" s="152">
        <f t="shared" si="16"/>
        <v>45425</v>
      </c>
      <c r="L48" s="152">
        <f t="shared" si="16"/>
        <v>45407</v>
      </c>
      <c r="M48" s="152">
        <f t="shared" si="16"/>
        <v>45556</v>
      </c>
      <c r="N48" s="152" t="str">
        <f t="shared" si="16"/>
        <v>25-09.24</v>
      </c>
      <c r="O48" s="152">
        <f t="shared" si="16"/>
        <v>45498</v>
      </c>
      <c r="P48" s="152">
        <f t="shared" si="16"/>
        <v>45582</v>
      </c>
      <c r="Q48" s="152">
        <f t="shared" si="16"/>
        <v>45612</v>
      </c>
      <c r="R48" s="152">
        <f t="shared" si="16"/>
        <v>45612</v>
      </c>
      <c r="S48" s="153">
        <f t="shared" si="16"/>
        <v>45590</v>
      </c>
      <c r="T48" s="153">
        <f t="shared" si="16"/>
        <v>45414</v>
      </c>
      <c r="U48" s="152">
        <f t="shared" si="16"/>
        <v>45421</v>
      </c>
      <c r="V48" s="152">
        <f t="shared" si="16"/>
        <v>45428</v>
      </c>
      <c r="W48" s="152">
        <f t="shared" si="16"/>
        <v>45435</v>
      </c>
      <c r="X48" s="152">
        <f t="shared" si="16"/>
        <v>45442</v>
      </c>
      <c r="Y48" s="152">
        <f t="shared" si="16"/>
        <v>45449</v>
      </c>
      <c r="Z48" s="152">
        <f>Z5</f>
        <v>45456</v>
      </c>
      <c r="AA48" s="152">
        <f t="shared" si="16"/>
        <v>45463</v>
      </c>
      <c r="AB48" s="152">
        <f t="shared" si="16"/>
        <v>45470</v>
      </c>
      <c r="AC48" s="152">
        <f t="shared" si="16"/>
        <v>45477</v>
      </c>
      <c r="AD48" s="152">
        <f>AD5</f>
        <v>45484</v>
      </c>
      <c r="AE48" s="152">
        <f t="shared" si="16"/>
        <v>45491</v>
      </c>
      <c r="AF48" s="152">
        <f t="shared" si="16"/>
        <v>45498</v>
      </c>
      <c r="AG48" s="152">
        <f t="shared" si="16"/>
        <v>45505</v>
      </c>
      <c r="AH48" s="152">
        <f t="shared" si="16"/>
        <v>45512</v>
      </c>
      <c r="AI48" s="152">
        <f>AI5</f>
        <v>45519</v>
      </c>
      <c r="AJ48" s="152">
        <f t="shared" si="16"/>
        <v>45526</v>
      </c>
      <c r="AK48" s="152">
        <f t="shared" si="16"/>
        <v>45533</v>
      </c>
      <c r="AL48" s="152">
        <f t="shared" si="16"/>
        <v>45540</v>
      </c>
      <c r="AM48" s="152">
        <f t="shared" si="16"/>
        <v>45547</v>
      </c>
      <c r="AN48" s="153">
        <f>AN5</f>
        <v>45554</v>
      </c>
      <c r="AO48" s="153">
        <f>AO5</f>
        <v>45561</v>
      </c>
      <c r="AP48" s="151">
        <f t="shared" si="16"/>
        <v>45568</v>
      </c>
      <c r="AQ48" s="152">
        <f t="shared" ref="AQ48:BN48" si="17">AQ5</f>
        <v>45575</v>
      </c>
      <c r="AR48" s="152">
        <f t="shared" si="17"/>
        <v>45582</v>
      </c>
      <c r="AS48" s="152">
        <f t="shared" si="17"/>
        <v>45589</v>
      </c>
      <c r="AT48" s="152">
        <f t="shared" si="17"/>
        <v>45596</v>
      </c>
      <c r="AU48" s="152">
        <f t="shared" si="17"/>
        <v>45603</v>
      </c>
      <c r="AV48" s="152">
        <f t="shared" si="17"/>
        <v>45610</v>
      </c>
      <c r="AW48" s="152">
        <f>AW5</f>
        <v>45617</v>
      </c>
      <c r="AX48" s="152">
        <f t="shared" si="17"/>
        <v>45624</v>
      </c>
      <c r="AY48" s="152">
        <f>AY5</f>
        <v>45631</v>
      </c>
      <c r="AZ48" s="152">
        <f t="shared" si="17"/>
        <v>45638</v>
      </c>
      <c r="BA48" s="153">
        <f t="shared" si="17"/>
        <v>45674</v>
      </c>
      <c r="BB48" s="151">
        <f>BB5</f>
        <v>45681</v>
      </c>
      <c r="BC48" s="152">
        <f t="shared" si="17"/>
        <v>45688</v>
      </c>
      <c r="BD48" s="152">
        <f t="shared" si="17"/>
        <v>45695</v>
      </c>
      <c r="BE48" s="152">
        <f t="shared" si="17"/>
        <v>45702</v>
      </c>
      <c r="BF48" s="152">
        <f>BF5</f>
        <v>45709</v>
      </c>
      <c r="BG48" s="152">
        <f t="shared" si="17"/>
        <v>45716</v>
      </c>
      <c r="BH48" s="152">
        <f t="shared" si="17"/>
        <v>0</v>
      </c>
      <c r="BI48" s="152">
        <f t="shared" si="17"/>
        <v>0</v>
      </c>
      <c r="BJ48" s="152">
        <f t="shared" si="17"/>
        <v>0</v>
      </c>
      <c r="BK48" s="152">
        <f t="shared" si="17"/>
        <v>0</v>
      </c>
      <c r="BL48" s="152">
        <f t="shared" si="17"/>
        <v>0</v>
      </c>
      <c r="BM48" s="152">
        <f>BM5</f>
        <v>0</v>
      </c>
      <c r="BN48" s="152">
        <f t="shared" si="17"/>
        <v>0</v>
      </c>
      <c r="BO48" s="152">
        <f>BO5</f>
        <v>0</v>
      </c>
      <c r="BP48" s="152">
        <f>BP5</f>
        <v>0</v>
      </c>
      <c r="BQ48" s="154">
        <f>MAINTENANCE!BP29</f>
        <v>0</v>
      </c>
      <c r="BR48" s="15"/>
      <c r="BS48" s="14"/>
    </row>
    <row r="49" spans="1:71" ht="7.5" hidden="1" thickTop="1">
      <c r="A49" s="437"/>
      <c r="B49" s="322"/>
      <c r="C49" s="324"/>
      <c r="D49" s="322"/>
      <c r="E49" s="348"/>
      <c r="F49" s="322"/>
      <c r="G49" s="322"/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4"/>
      <c r="T49" s="324"/>
      <c r="U49" s="322"/>
      <c r="V49" s="322"/>
      <c r="W49" s="322"/>
      <c r="X49" s="322"/>
      <c r="Y49" s="322"/>
      <c r="Z49" s="322"/>
      <c r="AA49" s="322"/>
      <c r="AB49" s="322"/>
      <c r="AC49" s="322"/>
      <c r="AD49" s="322"/>
      <c r="AE49" s="322"/>
      <c r="AF49" s="322"/>
      <c r="AG49" s="322"/>
      <c r="AH49" s="322"/>
      <c r="AI49" s="322"/>
      <c r="AJ49" s="322"/>
      <c r="AK49" s="322"/>
      <c r="AL49" s="322"/>
      <c r="AM49" s="322"/>
      <c r="AN49" s="324"/>
      <c r="AO49" s="324"/>
      <c r="AP49" s="323"/>
      <c r="AQ49" s="322"/>
      <c r="AR49" s="322"/>
      <c r="AS49" s="322"/>
      <c r="AT49" s="322"/>
      <c r="AU49" s="322"/>
      <c r="AV49" s="322"/>
      <c r="AW49" s="322"/>
      <c r="AX49" s="322"/>
      <c r="AY49" s="322"/>
      <c r="AZ49" s="322"/>
      <c r="BA49" s="324"/>
      <c r="BB49" s="323"/>
      <c r="BC49" s="322"/>
      <c r="BD49" s="322"/>
      <c r="BE49" s="322"/>
      <c r="BF49" s="322"/>
      <c r="BG49" s="322"/>
      <c r="BH49" s="51"/>
      <c r="BI49" s="51"/>
      <c r="BJ49" s="51"/>
      <c r="BK49" s="51"/>
      <c r="BL49" s="51"/>
      <c r="BM49" s="51"/>
      <c r="BN49" s="51"/>
      <c r="BO49" s="51"/>
      <c r="BP49" s="51"/>
      <c r="BQ49" s="56"/>
      <c r="BR49" s="44"/>
      <c r="BS49" s="43">
        <f t="shared" ref="BS49:BS55" si="18">SUM(C49:BQ49)</f>
        <v>0</v>
      </c>
    </row>
    <row r="50" spans="1:71" hidden="1">
      <c r="A50" s="437"/>
      <c r="B50" s="322"/>
      <c r="C50" s="324"/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4"/>
      <c r="T50" s="324"/>
      <c r="U50" s="322"/>
      <c r="V50" s="322"/>
      <c r="W50" s="322"/>
      <c r="X50" s="322"/>
      <c r="Y50" s="322"/>
      <c r="Z50" s="322"/>
      <c r="AA50" s="322"/>
      <c r="AB50" s="322"/>
      <c r="AC50" s="322"/>
      <c r="AD50" s="322"/>
      <c r="AE50" s="322"/>
      <c r="AF50" s="322"/>
      <c r="AG50" s="322"/>
      <c r="AH50" s="322"/>
      <c r="AI50" s="322"/>
      <c r="AJ50" s="322"/>
      <c r="AK50" s="322"/>
      <c r="AL50" s="322"/>
      <c r="AM50" s="322"/>
      <c r="AN50" s="324"/>
      <c r="AO50" s="324"/>
      <c r="AP50" s="323"/>
      <c r="AQ50" s="322"/>
      <c r="AR50" s="322"/>
      <c r="AS50" s="322"/>
      <c r="AT50" s="322"/>
      <c r="AU50" s="322"/>
      <c r="AV50" s="322"/>
      <c r="AW50" s="322"/>
      <c r="AX50" s="322"/>
      <c r="AY50" s="322"/>
      <c r="AZ50" s="322"/>
      <c r="BA50" s="324"/>
      <c r="BB50" s="323"/>
      <c r="BC50" s="322"/>
      <c r="BD50" s="322"/>
      <c r="BE50" s="322"/>
      <c r="BF50" s="322"/>
      <c r="BG50" s="322"/>
      <c r="BH50" s="51"/>
      <c r="BI50" s="51"/>
      <c r="BJ50" s="51"/>
      <c r="BK50" s="51"/>
      <c r="BL50" s="51"/>
      <c r="BM50" s="51"/>
      <c r="BN50" s="51"/>
      <c r="BO50" s="51"/>
      <c r="BP50" s="51"/>
      <c r="BQ50" s="56"/>
      <c r="BR50" s="44"/>
      <c r="BS50" s="43">
        <f t="shared" si="18"/>
        <v>0</v>
      </c>
    </row>
    <row r="51" spans="1:71" hidden="1">
      <c r="A51" s="437"/>
      <c r="B51" s="322"/>
      <c r="C51" s="324"/>
      <c r="D51" s="322"/>
      <c r="E51" s="322"/>
      <c r="F51" s="322"/>
      <c r="G51" s="322"/>
      <c r="H51" s="322"/>
      <c r="I51" s="322"/>
      <c r="J51" s="322"/>
      <c r="K51" s="322"/>
      <c r="L51" s="322"/>
      <c r="M51" s="322"/>
      <c r="N51" s="322"/>
      <c r="O51" s="322"/>
      <c r="P51" s="322"/>
      <c r="Q51" s="322"/>
      <c r="R51" s="322"/>
      <c r="S51" s="324"/>
      <c r="T51" s="324"/>
      <c r="U51" s="322"/>
      <c r="V51" s="322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  <c r="AJ51" s="322"/>
      <c r="AK51" s="322"/>
      <c r="AL51" s="322"/>
      <c r="AM51" s="322"/>
      <c r="AN51" s="324"/>
      <c r="AO51" s="324"/>
      <c r="AP51" s="323"/>
      <c r="AQ51" s="322"/>
      <c r="AR51" s="322"/>
      <c r="AS51" s="322"/>
      <c r="AT51" s="322"/>
      <c r="AU51" s="322"/>
      <c r="AV51" s="322"/>
      <c r="AW51" s="322"/>
      <c r="AX51" s="322"/>
      <c r="AY51" s="322"/>
      <c r="AZ51" s="322"/>
      <c r="BA51" s="324"/>
      <c r="BB51" s="323"/>
      <c r="BC51" s="322"/>
      <c r="BD51" s="322"/>
      <c r="BE51" s="322"/>
      <c r="BF51" s="322"/>
      <c r="BG51" s="322"/>
      <c r="BH51" s="51"/>
      <c r="BI51" s="51"/>
      <c r="BJ51" s="51"/>
      <c r="BK51" s="51"/>
      <c r="BL51" s="51"/>
      <c r="BM51" s="51"/>
      <c r="BN51" s="51"/>
      <c r="BO51" s="51"/>
      <c r="BP51" s="51"/>
      <c r="BQ51" s="56"/>
      <c r="BR51" s="44"/>
      <c r="BS51" s="43">
        <f t="shared" si="18"/>
        <v>0</v>
      </c>
    </row>
    <row r="52" spans="1:71" hidden="1">
      <c r="A52" s="437"/>
      <c r="B52" s="322"/>
      <c r="C52" s="324"/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4"/>
      <c r="T52" s="324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2"/>
      <c r="AG52" s="322"/>
      <c r="AH52" s="322"/>
      <c r="AI52" s="322"/>
      <c r="AJ52" s="322"/>
      <c r="AK52" s="322"/>
      <c r="AL52" s="322"/>
      <c r="AM52" s="322"/>
      <c r="AN52" s="324"/>
      <c r="AO52" s="324"/>
      <c r="AP52" s="323"/>
      <c r="AQ52" s="322"/>
      <c r="AR52" s="322"/>
      <c r="AS52" s="322"/>
      <c r="AT52" s="322"/>
      <c r="AU52" s="322"/>
      <c r="AV52" s="322"/>
      <c r="AW52" s="322"/>
      <c r="AX52" s="322"/>
      <c r="AY52" s="322"/>
      <c r="AZ52" s="322"/>
      <c r="BA52" s="324"/>
      <c r="BB52" s="323"/>
      <c r="BC52" s="322"/>
      <c r="BD52" s="322"/>
      <c r="BE52" s="322"/>
      <c r="BF52" s="322"/>
      <c r="BG52" s="322"/>
      <c r="BH52" s="51"/>
      <c r="BI52" s="51"/>
      <c r="BJ52" s="51"/>
      <c r="BK52" s="51"/>
      <c r="BL52" s="51"/>
      <c r="BM52" s="51"/>
      <c r="BN52" s="51"/>
      <c r="BO52" s="51"/>
      <c r="BP52" s="51"/>
      <c r="BQ52" s="56"/>
      <c r="BR52" s="44"/>
      <c r="BS52" s="43">
        <f>SUM(C52:BQ52)</f>
        <v>0</v>
      </c>
    </row>
    <row r="53" spans="1:71" hidden="1">
      <c r="A53" s="437"/>
      <c r="B53" s="322"/>
      <c r="C53" s="324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4"/>
      <c r="T53" s="324"/>
      <c r="U53" s="322"/>
      <c r="V53" s="322"/>
      <c r="W53" s="322"/>
      <c r="X53" s="322"/>
      <c r="Y53" s="322"/>
      <c r="Z53" s="322"/>
      <c r="AA53" s="322"/>
      <c r="AB53" s="322"/>
      <c r="AC53" s="322"/>
      <c r="AD53" s="322"/>
      <c r="AE53" s="322"/>
      <c r="AF53" s="322"/>
      <c r="AG53" s="322"/>
      <c r="AH53" s="322"/>
      <c r="AI53" s="322"/>
      <c r="AJ53" s="322"/>
      <c r="AK53" s="322"/>
      <c r="AL53" s="322"/>
      <c r="AM53" s="322"/>
      <c r="AN53" s="324"/>
      <c r="AO53" s="324"/>
      <c r="AP53" s="323"/>
      <c r="AQ53" s="322"/>
      <c r="AR53" s="322"/>
      <c r="AS53" s="322"/>
      <c r="AT53" s="322"/>
      <c r="AU53" s="322"/>
      <c r="AV53" s="322"/>
      <c r="AW53" s="322"/>
      <c r="AX53" s="322"/>
      <c r="AY53" s="322"/>
      <c r="AZ53" s="322"/>
      <c r="BA53" s="324"/>
      <c r="BB53" s="323"/>
      <c r="BC53" s="322"/>
      <c r="BD53" s="322"/>
      <c r="BE53" s="322"/>
      <c r="BF53" s="322"/>
      <c r="BG53" s="322"/>
      <c r="BH53" s="51"/>
      <c r="BI53" s="51"/>
      <c r="BJ53" s="51"/>
      <c r="BK53" s="51"/>
      <c r="BL53" s="51"/>
      <c r="BM53" s="51"/>
      <c r="BN53" s="51"/>
      <c r="BO53" s="51"/>
      <c r="BP53" s="51"/>
      <c r="BQ53" s="56"/>
      <c r="BR53" s="44"/>
      <c r="BS53" s="43">
        <f t="shared" si="18"/>
        <v>0</v>
      </c>
    </row>
    <row r="54" spans="1:71" s="223" customFormat="1" ht="9" hidden="1" customHeight="1">
      <c r="A54" s="437"/>
      <c r="B54" s="322"/>
      <c r="C54" s="324"/>
      <c r="D54" s="322"/>
      <c r="E54" s="322"/>
      <c r="F54" s="322"/>
      <c r="G54" s="322"/>
      <c r="H54" s="322"/>
      <c r="I54" s="322"/>
      <c r="J54" s="322"/>
      <c r="K54" s="322"/>
      <c r="L54" s="322"/>
      <c r="M54" s="322"/>
      <c r="N54" s="322"/>
      <c r="O54" s="322"/>
      <c r="P54" s="322"/>
      <c r="Q54" s="322"/>
      <c r="R54" s="322"/>
      <c r="S54" s="324"/>
      <c r="T54" s="324"/>
      <c r="U54" s="322"/>
      <c r="V54" s="322"/>
      <c r="W54" s="322"/>
      <c r="X54" s="322"/>
      <c r="Y54" s="322"/>
      <c r="Z54" s="322"/>
      <c r="AA54" s="322"/>
      <c r="AB54" s="322"/>
      <c r="AC54" s="322"/>
      <c r="AD54" s="322"/>
      <c r="AE54" s="322"/>
      <c r="AF54" s="322"/>
      <c r="AG54" s="322"/>
      <c r="AH54" s="322"/>
      <c r="AI54" s="322"/>
      <c r="AJ54" s="322"/>
      <c r="AK54" s="322"/>
      <c r="AL54" s="322"/>
      <c r="AM54" s="322"/>
      <c r="AN54" s="324"/>
      <c r="AO54" s="324"/>
      <c r="AP54" s="323"/>
      <c r="AQ54" s="322"/>
      <c r="AR54" s="322"/>
      <c r="AS54" s="322"/>
      <c r="AT54" s="322"/>
      <c r="AU54" s="322"/>
      <c r="AV54" s="322"/>
      <c r="AW54" s="322"/>
      <c r="AX54" s="322"/>
      <c r="AY54" s="322"/>
      <c r="AZ54" s="322"/>
      <c r="BA54" s="324"/>
      <c r="BB54" s="323"/>
      <c r="BC54" s="322"/>
      <c r="BD54" s="322"/>
      <c r="BE54" s="322"/>
      <c r="BF54" s="322"/>
      <c r="BG54" s="322"/>
      <c r="BH54" s="220"/>
      <c r="BI54" s="220"/>
      <c r="BJ54" s="220"/>
      <c r="BK54" s="220"/>
      <c r="BL54" s="220"/>
      <c r="BM54" s="220"/>
      <c r="BN54" s="220"/>
      <c r="BO54" s="220"/>
      <c r="BP54" s="220"/>
      <c r="BQ54" s="221"/>
      <c r="BR54" s="222"/>
      <c r="BS54" s="43">
        <f t="shared" si="18"/>
        <v>0</v>
      </c>
    </row>
    <row r="55" spans="1:71" ht="7.5" hidden="1" thickBot="1">
      <c r="A55" s="437"/>
      <c r="B55" s="322"/>
      <c r="C55" s="324"/>
      <c r="D55" s="322"/>
      <c r="E55" s="322"/>
      <c r="F55" s="322"/>
      <c r="G55" s="322"/>
      <c r="H55" s="322"/>
      <c r="I55" s="322"/>
      <c r="J55" s="322"/>
      <c r="K55" s="322"/>
      <c r="L55" s="322"/>
      <c r="M55" s="322"/>
      <c r="N55" s="322"/>
      <c r="O55" s="322"/>
      <c r="P55" s="322"/>
      <c r="Q55" s="322"/>
      <c r="R55" s="322"/>
      <c r="S55" s="324"/>
      <c r="T55" s="324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322"/>
      <c r="AG55" s="322"/>
      <c r="AH55" s="322"/>
      <c r="AI55" s="322"/>
      <c r="AJ55" s="322"/>
      <c r="AK55" s="322"/>
      <c r="AL55" s="322"/>
      <c r="AM55" s="322"/>
      <c r="AN55" s="324"/>
      <c r="AO55" s="324"/>
      <c r="AP55" s="323"/>
      <c r="AQ55" s="322"/>
      <c r="AR55" s="322"/>
      <c r="AS55" s="322"/>
      <c r="AT55" s="322"/>
      <c r="AU55" s="322"/>
      <c r="AV55" s="322"/>
      <c r="AW55" s="322"/>
      <c r="AX55" s="322"/>
      <c r="AY55" s="322"/>
      <c r="AZ55" s="322"/>
      <c r="BA55" s="324"/>
      <c r="BB55" s="323"/>
      <c r="BC55" s="322"/>
      <c r="BD55" s="322"/>
      <c r="BE55" s="322"/>
      <c r="BF55" s="322"/>
      <c r="BG55" s="322"/>
      <c r="BH55" s="51"/>
      <c r="BI55" s="51"/>
      <c r="BJ55" s="51"/>
      <c r="BK55" s="51"/>
      <c r="BL55" s="51"/>
      <c r="BM55" s="51"/>
      <c r="BN55" s="51"/>
      <c r="BO55" s="51"/>
      <c r="BP55" s="51"/>
      <c r="BQ55" s="56"/>
      <c r="BR55" s="44"/>
      <c r="BS55" s="43">
        <f t="shared" si="18"/>
        <v>0</v>
      </c>
    </row>
    <row r="56" spans="1:71" ht="11.5" hidden="1" thickTop="1" thickBot="1">
      <c r="A56" s="112" t="s">
        <v>77</v>
      </c>
      <c r="B56" s="57">
        <f t="shared" ref="B56:J56" si="19">SUM(B49:B55)</f>
        <v>0</v>
      </c>
      <c r="C56" s="111">
        <f t="shared" si="19"/>
        <v>0</v>
      </c>
      <c r="D56" s="57">
        <f t="shared" si="19"/>
        <v>0</v>
      </c>
      <c r="E56" s="57">
        <f t="shared" si="19"/>
        <v>0</v>
      </c>
      <c r="F56" s="57">
        <f t="shared" si="19"/>
        <v>0</v>
      </c>
      <c r="G56" s="57">
        <f t="shared" si="19"/>
        <v>0</v>
      </c>
      <c r="H56" s="57">
        <f t="shared" si="19"/>
        <v>0</v>
      </c>
      <c r="I56" s="57">
        <f t="shared" si="19"/>
        <v>0</v>
      </c>
      <c r="J56" s="57">
        <f t="shared" si="19"/>
        <v>0</v>
      </c>
      <c r="K56" s="57">
        <f t="shared" ref="K56:W56" si="20">SUM(K49:K55)</f>
        <v>0</v>
      </c>
      <c r="L56" s="57">
        <f>SUM(L49:L55)</f>
        <v>0</v>
      </c>
      <c r="M56" s="57">
        <f>SUM(M49:M55)</f>
        <v>0</v>
      </c>
      <c r="N56" s="57">
        <f>SUM(N49:N55)</f>
        <v>0</v>
      </c>
      <c r="O56" s="57">
        <f>SUM(O49:O55)</f>
        <v>0</v>
      </c>
      <c r="P56" s="57">
        <f t="shared" si="20"/>
        <v>0</v>
      </c>
      <c r="Q56" s="57">
        <f t="shared" si="20"/>
        <v>0</v>
      </c>
      <c r="R56" s="57">
        <f t="shared" si="20"/>
        <v>0</v>
      </c>
      <c r="S56" s="81">
        <f t="shared" si="20"/>
        <v>0</v>
      </c>
      <c r="T56" s="81">
        <f t="shared" si="20"/>
        <v>0</v>
      </c>
      <c r="U56" s="57">
        <f t="shared" si="20"/>
        <v>0</v>
      </c>
      <c r="V56" s="57">
        <f>SUM(V49:V55)</f>
        <v>0</v>
      </c>
      <c r="W56" s="57">
        <f t="shared" si="20"/>
        <v>0</v>
      </c>
      <c r="X56" s="57">
        <f>SUM(X49:X55)</f>
        <v>0</v>
      </c>
      <c r="Y56" s="57">
        <f t="shared" ref="Y56:AI56" si="21">SUM(Y49:Y55)</f>
        <v>0</v>
      </c>
      <c r="Z56" s="57">
        <f t="shared" si="21"/>
        <v>0</v>
      </c>
      <c r="AA56" s="57">
        <f t="shared" si="21"/>
        <v>0</v>
      </c>
      <c r="AB56" s="57">
        <f t="shared" si="21"/>
        <v>0</v>
      </c>
      <c r="AC56" s="57">
        <f t="shared" si="21"/>
        <v>0</v>
      </c>
      <c r="AD56" s="57">
        <f t="shared" si="21"/>
        <v>0</v>
      </c>
      <c r="AE56" s="57">
        <f t="shared" si="21"/>
        <v>0</v>
      </c>
      <c r="AF56" s="57">
        <f t="shared" si="21"/>
        <v>0</v>
      </c>
      <c r="AG56" s="57">
        <f t="shared" si="21"/>
        <v>0</v>
      </c>
      <c r="AH56" s="57">
        <f t="shared" si="21"/>
        <v>0</v>
      </c>
      <c r="AI56" s="57">
        <f t="shared" si="21"/>
        <v>0</v>
      </c>
      <c r="AJ56" s="57">
        <f t="shared" ref="AJ56:AP56" si="22">SUM(AJ49:AJ55)</f>
        <v>0</v>
      </c>
      <c r="AK56" s="57">
        <f t="shared" si="22"/>
        <v>0</v>
      </c>
      <c r="AL56" s="57">
        <f t="shared" si="22"/>
        <v>0</v>
      </c>
      <c r="AM56" s="57">
        <f t="shared" si="22"/>
        <v>0</v>
      </c>
      <c r="AN56" s="81">
        <f t="shared" si="22"/>
        <v>0</v>
      </c>
      <c r="AO56" s="81">
        <f t="shared" si="22"/>
        <v>0</v>
      </c>
      <c r="AP56" s="111">
        <f t="shared" si="22"/>
        <v>0</v>
      </c>
      <c r="AQ56" s="57">
        <f t="shared" ref="AQ56:BO56" si="23">SUM(AQ49:AQ55)</f>
        <v>0</v>
      </c>
      <c r="AR56" s="57">
        <f t="shared" si="23"/>
        <v>0</v>
      </c>
      <c r="AS56" s="57">
        <f t="shared" si="23"/>
        <v>0</v>
      </c>
      <c r="AT56" s="57">
        <f t="shared" si="23"/>
        <v>0</v>
      </c>
      <c r="AU56" s="57">
        <f t="shared" si="23"/>
        <v>0</v>
      </c>
      <c r="AV56" s="57">
        <f t="shared" si="23"/>
        <v>0</v>
      </c>
      <c r="AW56" s="57">
        <f t="shared" si="23"/>
        <v>0</v>
      </c>
      <c r="AX56" s="57">
        <f t="shared" si="23"/>
        <v>0</v>
      </c>
      <c r="AY56" s="57">
        <f t="shared" si="23"/>
        <v>0</v>
      </c>
      <c r="AZ56" s="57">
        <f t="shared" si="23"/>
        <v>0</v>
      </c>
      <c r="BA56" s="81">
        <f t="shared" si="23"/>
        <v>0</v>
      </c>
      <c r="BB56" s="111">
        <f t="shared" si="23"/>
        <v>0</v>
      </c>
      <c r="BC56" s="57">
        <f t="shared" si="23"/>
        <v>0</v>
      </c>
      <c r="BD56" s="57">
        <f>SUM(BD49:BD55)</f>
        <v>0</v>
      </c>
      <c r="BE56" s="57">
        <f>SUM(BE49:BE55)</f>
        <v>0</v>
      </c>
      <c r="BF56" s="57">
        <f t="shared" si="23"/>
        <v>0</v>
      </c>
      <c r="BG56" s="57">
        <f t="shared" si="23"/>
        <v>0</v>
      </c>
      <c r="BH56" s="57">
        <f t="shared" si="23"/>
        <v>0</v>
      </c>
      <c r="BI56" s="57">
        <f t="shared" si="23"/>
        <v>0</v>
      </c>
      <c r="BJ56" s="57">
        <f t="shared" si="23"/>
        <v>0</v>
      </c>
      <c r="BK56" s="57">
        <f t="shared" si="23"/>
        <v>0</v>
      </c>
      <c r="BL56" s="57">
        <f t="shared" si="23"/>
        <v>0</v>
      </c>
      <c r="BM56" s="57">
        <f t="shared" si="23"/>
        <v>0</v>
      </c>
      <c r="BN56" s="57">
        <f t="shared" si="23"/>
        <v>0</v>
      </c>
      <c r="BO56" s="57">
        <f t="shared" si="23"/>
        <v>0</v>
      </c>
      <c r="BP56" s="57">
        <f>SUM(BP49:BP55)</f>
        <v>0</v>
      </c>
      <c r="BQ56" s="117">
        <f>BQ49</f>
        <v>0</v>
      </c>
      <c r="BR56" s="44"/>
      <c r="BS56" s="249">
        <f>SUM(B56:BQ56)</f>
        <v>0</v>
      </c>
    </row>
    <row r="57" spans="1:71" ht="8" hidden="1" thickTop="1" thickBot="1">
      <c r="A57" s="11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91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1"/>
      <c r="BS57" s="1"/>
    </row>
    <row r="58" spans="1:71" ht="11" thickTop="1">
      <c r="A58" s="110" t="s">
        <v>41</v>
      </c>
      <c r="B58" s="4"/>
      <c r="C58" s="16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16"/>
      <c r="T58" s="16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16"/>
      <c r="AO58" s="16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16"/>
      <c r="BB58" s="3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5"/>
      <c r="BR58" s="9"/>
      <c r="BS58" s="1"/>
    </row>
    <row r="59" spans="1:71">
      <c r="A59" s="634" t="s">
        <v>244</v>
      </c>
      <c r="B59" s="488"/>
      <c r="C59" s="489"/>
      <c r="D59" s="488"/>
      <c r="E59" s="488"/>
      <c r="F59" s="488"/>
      <c r="G59" s="488"/>
      <c r="H59" s="488"/>
      <c r="I59" s="488"/>
      <c r="J59" s="488"/>
      <c r="K59" s="488"/>
      <c r="L59" s="488"/>
      <c r="M59" s="488"/>
      <c r="N59" s="488"/>
      <c r="O59" s="488"/>
      <c r="P59" s="488"/>
      <c r="Q59" s="488"/>
      <c r="R59" s="488"/>
      <c r="S59" s="489"/>
      <c r="T59" s="489"/>
      <c r="U59" s="488"/>
      <c r="V59" s="488"/>
      <c r="W59" s="488"/>
      <c r="X59" s="488"/>
      <c r="Y59" s="488"/>
      <c r="Z59" s="488"/>
      <c r="AA59" s="488"/>
      <c r="AB59" s="488"/>
      <c r="AC59" s="488"/>
      <c r="AD59" s="488"/>
      <c r="AE59" s="488"/>
      <c r="AF59" s="488"/>
      <c r="AG59" s="488"/>
      <c r="AH59" s="488"/>
      <c r="AI59" s="488"/>
      <c r="AJ59" s="488"/>
      <c r="AK59" s="488"/>
      <c r="AL59" s="488"/>
      <c r="AM59" s="488"/>
      <c r="AN59" s="489"/>
      <c r="AO59" s="489">
        <v>12</v>
      </c>
      <c r="AP59" s="490"/>
      <c r="AQ59" s="488"/>
      <c r="AR59" s="488"/>
      <c r="AS59" s="488"/>
      <c r="AT59" s="322"/>
      <c r="AU59" s="322"/>
      <c r="AV59" s="322"/>
      <c r="AW59" s="322"/>
      <c r="AX59" s="322"/>
      <c r="AY59" s="322"/>
      <c r="AZ59" s="322"/>
      <c r="BA59" s="324"/>
      <c r="BB59" s="323"/>
      <c r="BC59" s="322"/>
      <c r="BD59" s="322"/>
      <c r="BE59" s="322"/>
      <c r="BF59" s="322"/>
      <c r="BG59" s="322"/>
      <c r="BH59" s="324"/>
      <c r="BI59" s="51"/>
      <c r="BJ59" s="51"/>
      <c r="BK59" s="51"/>
      <c r="BL59" s="51"/>
      <c r="BM59" s="51"/>
      <c r="BN59" s="51"/>
      <c r="BO59" s="51"/>
      <c r="BP59" s="51"/>
      <c r="BQ59" s="56"/>
      <c r="BR59" s="44"/>
      <c r="BS59" s="43"/>
    </row>
    <row r="60" spans="1:71">
      <c r="A60" s="634" t="s">
        <v>245</v>
      </c>
      <c r="B60" s="488"/>
      <c r="C60" s="489"/>
      <c r="D60" s="488"/>
      <c r="E60" s="488"/>
      <c r="F60" s="488"/>
      <c r="G60" s="488"/>
      <c r="H60" s="488"/>
      <c r="I60" s="488"/>
      <c r="J60" s="488"/>
      <c r="K60" s="488"/>
      <c r="L60" s="488"/>
      <c r="M60" s="488"/>
      <c r="N60" s="488"/>
      <c r="O60" s="488"/>
      <c r="P60" s="488"/>
      <c r="Q60" s="488"/>
      <c r="R60" s="488"/>
      <c r="S60" s="489"/>
      <c r="T60" s="489"/>
      <c r="U60" s="488"/>
      <c r="V60" s="488"/>
      <c r="W60" s="488"/>
      <c r="X60" s="488"/>
      <c r="Y60" s="488"/>
      <c r="Z60" s="488"/>
      <c r="AA60" s="488"/>
      <c r="AB60" s="488"/>
      <c r="AC60" s="488"/>
      <c r="AD60" s="488"/>
      <c r="AE60" s="488"/>
      <c r="AF60" s="488"/>
      <c r="AG60" s="488"/>
      <c r="AH60" s="488"/>
      <c r="AI60" s="488"/>
      <c r="AJ60" s="488"/>
      <c r="AK60" s="488"/>
      <c r="AL60" s="488"/>
      <c r="AM60" s="488"/>
      <c r="AN60" s="489"/>
      <c r="AO60" s="489">
        <v>7.5</v>
      </c>
      <c r="AP60" s="490"/>
      <c r="AQ60" s="488"/>
      <c r="AR60" s="488"/>
      <c r="AS60" s="488"/>
      <c r="AT60" s="322"/>
      <c r="AU60" s="322"/>
      <c r="AV60" s="322"/>
      <c r="AW60" s="322"/>
      <c r="AX60" s="322"/>
      <c r="AY60" s="322"/>
      <c r="AZ60" s="322"/>
      <c r="BA60" s="324"/>
      <c r="BB60" s="323"/>
      <c r="BC60" s="322"/>
      <c r="BD60" s="322"/>
      <c r="BE60" s="322"/>
      <c r="BF60" s="322"/>
      <c r="BG60" s="322"/>
      <c r="BH60" s="324"/>
      <c r="BI60" s="51"/>
      <c r="BJ60" s="51"/>
      <c r="BK60" s="51"/>
      <c r="BL60" s="51"/>
      <c r="BM60" s="51"/>
      <c r="BN60" s="51"/>
      <c r="BO60" s="51"/>
      <c r="BP60" s="51"/>
      <c r="BQ60" s="56"/>
      <c r="BR60" s="44"/>
      <c r="BS60" s="43"/>
    </row>
    <row r="61" spans="1:71" ht="7.5" thickBot="1">
      <c r="A61" s="634"/>
      <c r="B61" s="488"/>
      <c r="C61" s="489"/>
      <c r="D61" s="488"/>
      <c r="E61" s="488"/>
      <c r="F61" s="488"/>
      <c r="G61" s="488"/>
      <c r="H61" s="488"/>
      <c r="I61" s="488"/>
      <c r="J61" s="488"/>
      <c r="K61" s="488"/>
      <c r="L61" s="488"/>
      <c r="M61" s="488"/>
      <c r="N61" s="488"/>
      <c r="O61" s="488"/>
      <c r="P61" s="488"/>
      <c r="Q61" s="488"/>
      <c r="R61" s="488"/>
      <c r="S61" s="489"/>
      <c r="T61" s="489"/>
      <c r="U61" s="488"/>
      <c r="V61" s="488"/>
      <c r="W61" s="488"/>
      <c r="X61" s="488"/>
      <c r="Y61" s="488"/>
      <c r="Z61" s="488"/>
      <c r="AA61" s="488"/>
      <c r="AB61" s="488"/>
      <c r="AC61" s="488"/>
      <c r="AD61" s="488"/>
      <c r="AE61" s="488"/>
      <c r="AF61" s="488"/>
      <c r="AG61" s="488"/>
      <c r="AH61" s="488"/>
      <c r="AI61" s="488"/>
      <c r="AJ61" s="488"/>
      <c r="AK61" s="488"/>
      <c r="AL61" s="488"/>
      <c r="AM61" s="488"/>
      <c r="AN61" s="489"/>
      <c r="AO61" s="489"/>
      <c r="AP61" s="490"/>
      <c r="AQ61" s="488"/>
      <c r="AR61" s="488"/>
      <c r="AS61" s="488"/>
      <c r="AT61" s="322"/>
      <c r="AU61" s="322"/>
      <c r="AV61" s="322"/>
      <c r="AW61" s="322"/>
      <c r="AX61" s="322"/>
      <c r="AY61" s="322"/>
      <c r="AZ61" s="322"/>
      <c r="BA61" s="324"/>
      <c r="BB61" s="323"/>
      <c r="BC61" s="322"/>
      <c r="BD61" s="322"/>
      <c r="BE61" s="322"/>
      <c r="BF61" s="322"/>
      <c r="BG61" s="322"/>
      <c r="BH61" s="324"/>
      <c r="BI61" s="51"/>
      <c r="BJ61" s="51"/>
      <c r="BK61" s="51"/>
      <c r="BL61" s="51"/>
      <c r="BM61" s="51"/>
      <c r="BN61" s="51"/>
      <c r="BO61" s="51"/>
      <c r="BP61" s="51"/>
      <c r="BQ61" s="56"/>
      <c r="BR61" s="44"/>
      <c r="BS61" s="43">
        <f t="shared" ref="BS61:BS62" si="24">SUM(C61:BQ61)</f>
        <v>0</v>
      </c>
    </row>
    <row r="62" spans="1:71" hidden="1">
      <c r="A62" s="634"/>
      <c r="B62" s="488"/>
      <c r="C62" s="489"/>
      <c r="D62" s="488"/>
      <c r="E62" s="488"/>
      <c r="F62" s="488"/>
      <c r="G62" s="488"/>
      <c r="H62" s="488"/>
      <c r="I62" s="488"/>
      <c r="J62" s="488"/>
      <c r="K62" s="488"/>
      <c r="L62" s="488"/>
      <c r="M62" s="488"/>
      <c r="N62" s="488"/>
      <c r="O62" s="488"/>
      <c r="P62" s="488"/>
      <c r="Q62" s="488"/>
      <c r="R62" s="488"/>
      <c r="S62" s="489"/>
      <c r="T62" s="489"/>
      <c r="U62" s="488"/>
      <c r="V62" s="488"/>
      <c r="W62" s="488"/>
      <c r="X62" s="488"/>
      <c r="Y62" s="488"/>
      <c r="Z62" s="488"/>
      <c r="AA62" s="488"/>
      <c r="AB62" s="488"/>
      <c r="AC62" s="488"/>
      <c r="AD62" s="488"/>
      <c r="AE62" s="488"/>
      <c r="AF62" s="488"/>
      <c r="AG62" s="488"/>
      <c r="AH62" s="488"/>
      <c r="AI62" s="488"/>
      <c r="AJ62" s="488"/>
      <c r="AK62" s="488"/>
      <c r="AL62" s="488"/>
      <c r="AM62" s="488"/>
      <c r="AN62" s="489"/>
      <c r="AO62" s="489"/>
      <c r="AP62" s="490"/>
      <c r="AQ62" s="488"/>
      <c r="AR62" s="488"/>
      <c r="AS62" s="488"/>
      <c r="AT62" s="322"/>
      <c r="AU62" s="322"/>
      <c r="AV62" s="322"/>
      <c r="AW62" s="322"/>
      <c r="AX62" s="322"/>
      <c r="AY62" s="322"/>
      <c r="AZ62" s="322"/>
      <c r="BA62" s="324"/>
      <c r="BB62" s="323"/>
      <c r="BC62" s="322"/>
      <c r="BD62" s="322"/>
      <c r="BE62" s="322"/>
      <c r="BF62" s="322"/>
      <c r="BG62" s="322"/>
      <c r="BH62" s="324"/>
      <c r="BI62" s="51"/>
      <c r="BJ62" s="51"/>
      <c r="BK62" s="51"/>
      <c r="BL62" s="51"/>
      <c r="BM62" s="51"/>
      <c r="BN62" s="51"/>
      <c r="BO62" s="51"/>
      <c r="BP62" s="51"/>
      <c r="BQ62" s="56"/>
      <c r="BR62" s="44"/>
      <c r="BS62" s="43">
        <f t="shared" si="24"/>
        <v>0</v>
      </c>
    </row>
    <row r="63" spans="1:71" hidden="1">
      <c r="A63" s="634"/>
      <c r="B63" s="488"/>
      <c r="C63" s="489"/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8"/>
      <c r="O63" s="488"/>
      <c r="P63" s="488"/>
      <c r="Q63" s="488"/>
      <c r="R63" s="488"/>
      <c r="S63" s="489"/>
      <c r="T63" s="489"/>
      <c r="U63" s="488"/>
      <c r="V63" s="488"/>
      <c r="W63" s="488"/>
      <c r="X63" s="488"/>
      <c r="Y63" s="488"/>
      <c r="Z63" s="488"/>
      <c r="AA63" s="488"/>
      <c r="AB63" s="488"/>
      <c r="AC63" s="488"/>
      <c r="AD63" s="488"/>
      <c r="AE63" s="488"/>
      <c r="AF63" s="488"/>
      <c r="AG63" s="488"/>
      <c r="AH63" s="488"/>
      <c r="AI63" s="488"/>
      <c r="AJ63" s="488"/>
      <c r="AK63" s="488"/>
      <c r="AL63" s="488"/>
      <c r="AM63" s="488"/>
      <c r="AN63" s="489"/>
      <c r="AO63" s="489"/>
      <c r="AP63" s="490"/>
      <c r="AQ63" s="488"/>
      <c r="AR63" s="488"/>
      <c r="AS63" s="488"/>
      <c r="AT63" s="322"/>
      <c r="AU63" s="322"/>
      <c r="AV63" s="322"/>
      <c r="AW63" s="322"/>
      <c r="AX63" s="322"/>
      <c r="AY63" s="322"/>
      <c r="AZ63" s="322"/>
      <c r="BA63" s="324"/>
      <c r="BB63" s="323"/>
      <c r="BC63" s="322"/>
      <c r="BD63" s="322"/>
      <c r="BE63" s="322"/>
      <c r="BF63" s="322"/>
      <c r="BG63" s="322"/>
      <c r="BH63" s="324"/>
      <c r="BI63" s="51"/>
      <c r="BJ63" s="51"/>
      <c r="BK63" s="51"/>
      <c r="BL63" s="51"/>
      <c r="BM63" s="51"/>
      <c r="BN63" s="51"/>
      <c r="BO63" s="51"/>
      <c r="BP63" s="51"/>
      <c r="BQ63" s="56"/>
      <c r="BR63" s="44"/>
      <c r="BS63" s="43">
        <f t="shared" ref="BS63:BS64" si="25">SUM(C63:BQ63)</f>
        <v>0</v>
      </c>
    </row>
    <row r="64" spans="1:71" hidden="1">
      <c r="A64" s="634"/>
      <c r="B64" s="488"/>
      <c r="C64" s="489"/>
      <c r="D64" s="488"/>
      <c r="E64" s="488"/>
      <c r="F64" s="488"/>
      <c r="G64" s="488"/>
      <c r="H64" s="488"/>
      <c r="I64" s="488"/>
      <c r="J64" s="488"/>
      <c r="K64" s="488"/>
      <c r="L64" s="488"/>
      <c r="M64" s="488"/>
      <c r="N64" s="488"/>
      <c r="O64" s="488"/>
      <c r="P64" s="488"/>
      <c r="Q64" s="488"/>
      <c r="R64" s="488"/>
      <c r="S64" s="489"/>
      <c r="T64" s="489"/>
      <c r="U64" s="488"/>
      <c r="V64" s="488"/>
      <c r="W64" s="488"/>
      <c r="X64" s="488"/>
      <c r="Y64" s="488"/>
      <c r="Z64" s="488"/>
      <c r="AA64" s="488"/>
      <c r="AB64" s="488"/>
      <c r="AC64" s="488"/>
      <c r="AD64" s="488"/>
      <c r="AE64" s="488"/>
      <c r="AF64" s="488"/>
      <c r="AG64" s="488"/>
      <c r="AH64" s="488"/>
      <c r="AI64" s="488"/>
      <c r="AJ64" s="488"/>
      <c r="AK64" s="488"/>
      <c r="AL64" s="488"/>
      <c r="AM64" s="488"/>
      <c r="AN64" s="489"/>
      <c r="AO64" s="489"/>
      <c r="AP64" s="490"/>
      <c r="AQ64" s="488"/>
      <c r="AR64" s="488"/>
      <c r="AS64" s="488"/>
      <c r="AT64" s="322"/>
      <c r="AU64" s="322"/>
      <c r="AV64" s="322"/>
      <c r="AW64" s="322"/>
      <c r="AX64" s="322"/>
      <c r="AY64" s="322"/>
      <c r="AZ64" s="322"/>
      <c r="BA64" s="324"/>
      <c r="BB64" s="323"/>
      <c r="BC64" s="322"/>
      <c r="BD64" s="322"/>
      <c r="BE64" s="322"/>
      <c r="BF64" s="322"/>
      <c r="BG64" s="322"/>
      <c r="BH64" s="324"/>
      <c r="BI64" s="51"/>
      <c r="BJ64" s="51"/>
      <c r="BK64" s="51"/>
      <c r="BL64" s="51"/>
      <c r="BM64" s="51"/>
      <c r="BN64" s="51"/>
      <c r="BO64" s="51"/>
      <c r="BP64" s="51"/>
      <c r="BQ64" s="56"/>
      <c r="BR64" s="44"/>
      <c r="BS64" s="43">
        <f t="shared" si="25"/>
        <v>0</v>
      </c>
    </row>
    <row r="65" spans="1:71" hidden="1">
      <c r="A65" s="634"/>
      <c r="B65" s="488"/>
      <c r="C65" s="489"/>
      <c r="D65" s="488"/>
      <c r="E65" s="488"/>
      <c r="F65" s="488"/>
      <c r="G65" s="488"/>
      <c r="H65" s="488"/>
      <c r="I65" s="488"/>
      <c r="J65" s="488"/>
      <c r="K65" s="488"/>
      <c r="L65" s="488"/>
      <c r="M65" s="488"/>
      <c r="N65" s="488"/>
      <c r="O65" s="488"/>
      <c r="P65" s="488"/>
      <c r="Q65" s="488"/>
      <c r="R65" s="488"/>
      <c r="S65" s="489"/>
      <c r="T65" s="489"/>
      <c r="U65" s="488"/>
      <c r="V65" s="488"/>
      <c r="W65" s="488"/>
      <c r="X65" s="488"/>
      <c r="Y65" s="488"/>
      <c r="Z65" s="488"/>
      <c r="AA65" s="488"/>
      <c r="AB65" s="488"/>
      <c r="AC65" s="488"/>
      <c r="AD65" s="488"/>
      <c r="AE65" s="488"/>
      <c r="AF65" s="488"/>
      <c r="AG65" s="488"/>
      <c r="AH65" s="488"/>
      <c r="AI65" s="488"/>
      <c r="AJ65" s="488"/>
      <c r="AK65" s="488"/>
      <c r="AL65" s="488"/>
      <c r="AM65" s="488"/>
      <c r="AN65" s="489"/>
      <c r="AO65" s="489"/>
      <c r="AP65" s="490"/>
      <c r="AQ65" s="488"/>
      <c r="AR65" s="488"/>
      <c r="AS65" s="488"/>
      <c r="AT65" s="322"/>
      <c r="AU65" s="322"/>
      <c r="AV65" s="322"/>
      <c r="AW65" s="322"/>
      <c r="AX65" s="322"/>
      <c r="AY65" s="322"/>
      <c r="AZ65" s="322"/>
      <c r="BA65" s="324"/>
      <c r="BB65" s="323"/>
      <c r="BC65" s="322"/>
      <c r="BD65" s="322"/>
      <c r="BE65" s="322"/>
      <c r="BF65" s="322"/>
      <c r="BG65" s="322"/>
      <c r="BH65" s="324"/>
      <c r="BI65" s="51"/>
      <c r="BJ65" s="51"/>
      <c r="BK65" s="51"/>
      <c r="BL65" s="51"/>
      <c r="BM65" s="51"/>
      <c r="BN65" s="51"/>
      <c r="BO65" s="51"/>
      <c r="BP65" s="51"/>
      <c r="BQ65" s="56"/>
      <c r="BR65" s="44"/>
      <c r="BS65" s="43">
        <f t="shared" ref="BS65" si="26">SUM(C65:BQ65)</f>
        <v>0</v>
      </c>
    </row>
    <row r="66" spans="1:71" hidden="1">
      <c r="A66" s="634"/>
      <c r="B66" s="488"/>
      <c r="C66" s="489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  <c r="O66" s="488"/>
      <c r="P66" s="488"/>
      <c r="Q66" s="488"/>
      <c r="R66" s="488"/>
      <c r="S66" s="489"/>
      <c r="T66" s="489"/>
      <c r="U66" s="488"/>
      <c r="V66" s="488"/>
      <c r="W66" s="488"/>
      <c r="X66" s="488"/>
      <c r="Y66" s="488"/>
      <c r="Z66" s="488"/>
      <c r="AA66" s="488"/>
      <c r="AB66" s="488"/>
      <c r="AC66" s="488"/>
      <c r="AD66" s="488"/>
      <c r="AE66" s="488"/>
      <c r="AF66" s="488"/>
      <c r="AG66" s="488"/>
      <c r="AH66" s="488"/>
      <c r="AI66" s="488"/>
      <c r="AJ66" s="488"/>
      <c r="AK66" s="488"/>
      <c r="AL66" s="488"/>
      <c r="AM66" s="488"/>
      <c r="AN66" s="489"/>
      <c r="AO66" s="489"/>
      <c r="AP66" s="490"/>
      <c r="AQ66" s="488"/>
      <c r="AR66" s="488"/>
      <c r="AS66" s="488"/>
      <c r="AT66" s="322"/>
      <c r="AU66" s="322"/>
      <c r="AV66" s="322"/>
      <c r="AW66" s="322"/>
      <c r="AX66" s="322"/>
      <c r="AY66" s="322"/>
      <c r="AZ66" s="322"/>
      <c r="BA66" s="324"/>
      <c r="BB66" s="323"/>
      <c r="BC66" s="322"/>
      <c r="BD66" s="322"/>
      <c r="BE66" s="322"/>
      <c r="BF66" s="322"/>
      <c r="BG66" s="322"/>
      <c r="BH66" s="324"/>
      <c r="BI66" s="51"/>
      <c r="BJ66" s="51"/>
      <c r="BK66" s="51"/>
      <c r="BL66" s="51"/>
      <c r="BM66" s="51"/>
      <c r="BN66" s="51"/>
      <c r="BO66" s="51"/>
      <c r="BP66" s="51"/>
      <c r="BQ66" s="56"/>
      <c r="BR66" s="44"/>
      <c r="BS66" s="43">
        <f t="shared" ref="BS66" si="27">SUM(C66:BQ66)</f>
        <v>0</v>
      </c>
    </row>
    <row r="67" spans="1:71" hidden="1">
      <c r="A67" s="634"/>
      <c r="B67" s="488"/>
      <c r="C67" s="489"/>
      <c r="D67" s="488"/>
      <c r="E67" s="488"/>
      <c r="F67" s="488"/>
      <c r="G67" s="488"/>
      <c r="H67" s="488"/>
      <c r="I67" s="488"/>
      <c r="J67" s="488"/>
      <c r="K67" s="488"/>
      <c r="L67" s="488"/>
      <c r="M67" s="488"/>
      <c r="N67" s="488"/>
      <c r="O67" s="488"/>
      <c r="P67" s="488"/>
      <c r="Q67" s="488"/>
      <c r="R67" s="488"/>
      <c r="S67" s="489"/>
      <c r="T67" s="489"/>
      <c r="U67" s="488"/>
      <c r="V67" s="488"/>
      <c r="W67" s="488"/>
      <c r="X67" s="488"/>
      <c r="Y67" s="488"/>
      <c r="Z67" s="488"/>
      <c r="AA67" s="488"/>
      <c r="AB67" s="488"/>
      <c r="AC67" s="488"/>
      <c r="AD67" s="488"/>
      <c r="AE67" s="488"/>
      <c r="AF67" s="488"/>
      <c r="AG67" s="488"/>
      <c r="AH67" s="488"/>
      <c r="AI67" s="488"/>
      <c r="AJ67" s="488"/>
      <c r="AK67" s="488"/>
      <c r="AL67" s="488"/>
      <c r="AM67" s="488"/>
      <c r="AN67" s="489"/>
      <c r="AO67" s="489"/>
      <c r="AP67" s="490"/>
      <c r="AQ67" s="488"/>
      <c r="AR67" s="488"/>
      <c r="AS67" s="488"/>
      <c r="AT67" s="322"/>
      <c r="AU67" s="322"/>
      <c r="AV67" s="322"/>
      <c r="AW67" s="322"/>
      <c r="AX67" s="322"/>
      <c r="AY67" s="322"/>
      <c r="AZ67" s="322"/>
      <c r="BA67" s="324"/>
      <c r="BB67" s="323"/>
      <c r="BC67" s="322"/>
      <c r="BD67" s="322"/>
      <c r="BE67" s="322"/>
      <c r="BF67" s="322"/>
      <c r="BG67" s="322"/>
      <c r="BH67" s="324"/>
      <c r="BI67" s="51"/>
      <c r="BJ67" s="51"/>
      <c r="BK67" s="51"/>
      <c r="BL67" s="51"/>
      <c r="BM67" s="51"/>
      <c r="BN67" s="51"/>
      <c r="BO67" s="51"/>
      <c r="BP67" s="51"/>
      <c r="BQ67" s="56"/>
      <c r="BR67" s="44"/>
      <c r="BS67" s="43">
        <f>SUM(C67:BQ67)</f>
        <v>0</v>
      </c>
    </row>
    <row r="68" spans="1:71" hidden="1">
      <c r="A68" s="634"/>
      <c r="B68" s="488"/>
      <c r="C68" s="489"/>
      <c r="D68" s="488"/>
      <c r="E68" s="488"/>
      <c r="F68" s="488"/>
      <c r="G68" s="488"/>
      <c r="H68" s="488"/>
      <c r="I68" s="488"/>
      <c r="J68" s="488"/>
      <c r="K68" s="488"/>
      <c r="L68" s="488"/>
      <c r="M68" s="488"/>
      <c r="N68" s="488"/>
      <c r="O68" s="488"/>
      <c r="P68" s="488"/>
      <c r="Q68" s="488"/>
      <c r="R68" s="488"/>
      <c r="S68" s="489"/>
      <c r="T68" s="489"/>
      <c r="U68" s="488"/>
      <c r="V68" s="488"/>
      <c r="W68" s="488"/>
      <c r="X68" s="488"/>
      <c r="Y68" s="488"/>
      <c r="Z68" s="488"/>
      <c r="AA68" s="488"/>
      <c r="AB68" s="488"/>
      <c r="AC68" s="488"/>
      <c r="AD68" s="488"/>
      <c r="AE68" s="488"/>
      <c r="AF68" s="488"/>
      <c r="AG68" s="488"/>
      <c r="AH68" s="488"/>
      <c r="AI68" s="488"/>
      <c r="AJ68" s="488"/>
      <c r="AK68" s="488"/>
      <c r="AL68" s="488"/>
      <c r="AM68" s="488"/>
      <c r="AN68" s="489"/>
      <c r="AO68" s="489"/>
      <c r="AP68" s="490"/>
      <c r="AQ68" s="488"/>
      <c r="AR68" s="488"/>
      <c r="AS68" s="488"/>
      <c r="AT68" s="322"/>
      <c r="AU68" s="322"/>
      <c r="AV68" s="322"/>
      <c r="AW68" s="322"/>
      <c r="AX68" s="322"/>
      <c r="AY68" s="322"/>
      <c r="AZ68" s="322"/>
      <c r="BA68" s="324"/>
      <c r="BB68" s="323"/>
      <c r="BC68" s="322"/>
      <c r="BD68" s="322"/>
      <c r="BE68" s="322"/>
      <c r="BF68" s="322"/>
      <c r="BG68" s="322"/>
      <c r="BH68" s="324"/>
      <c r="BI68" s="51"/>
      <c r="BJ68" s="51"/>
      <c r="BK68" s="51"/>
      <c r="BL68" s="51"/>
      <c r="BM68" s="51"/>
      <c r="BN68" s="51"/>
      <c r="BO68" s="51"/>
      <c r="BP68" s="51"/>
      <c r="BQ68" s="56"/>
      <c r="BR68" s="44"/>
      <c r="BS68" s="43">
        <f t="shared" ref="BS68:BS73" si="28">SUM(C68:BQ68)</f>
        <v>0</v>
      </c>
    </row>
    <row r="69" spans="1:71" hidden="1">
      <c r="A69" s="634"/>
      <c r="B69" s="488"/>
      <c r="C69" s="489"/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488"/>
      <c r="O69" s="488"/>
      <c r="P69" s="488"/>
      <c r="Q69" s="488"/>
      <c r="R69" s="488"/>
      <c r="S69" s="489"/>
      <c r="T69" s="489"/>
      <c r="U69" s="488"/>
      <c r="V69" s="488"/>
      <c r="W69" s="488"/>
      <c r="X69" s="488"/>
      <c r="Y69" s="488"/>
      <c r="Z69" s="488"/>
      <c r="AA69" s="488"/>
      <c r="AB69" s="488"/>
      <c r="AC69" s="488"/>
      <c r="AD69" s="488"/>
      <c r="AE69" s="488"/>
      <c r="AF69" s="488"/>
      <c r="AG69" s="488"/>
      <c r="AH69" s="488"/>
      <c r="AI69" s="488"/>
      <c r="AJ69" s="488"/>
      <c r="AK69" s="488"/>
      <c r="AL69" s="488"/>
      <c r="AM69" s="488"/>
      <c r="AN69" s="489"/>
      <c r="AO69" s="489"/>
      <c r="AP69" s="490"/>
      <c r="AQ69" s="488"/>
      <c r="AR69" s="488"/>
      <c r="AS69" s="488"/>
      <c r="AT69" s="322"/>
      <c r="AU69" s="322"/>
      <c r="AV69" s="322"/>
      <c r="AW69" s="322"/>
      <c r="AX69" s="322"/>
      <c r="AY69" s="322"/>
      <c r="AZ69" s="322"/>
      <c r="BA69" s="324"/>
      <c r="BB69" s="323"/>
      <c r="BC69" s="322"/>
      <c r="BD69" s="322"/>
      <c r="BE69" s="322"/>
      <c r="BF69" s="322"/>
      <c r="BG69" s="322"/>
      <c r="BH69" s="324"/>
      <c r="BI69" s="51"/>
      <c r="BJ69" s="51"/>
      <c r="BK69" s="51"/>
      <c r="BL69" s="51"/>
      <c r="BM69" s="51"/>
      <c r="BN69" s="51"/>
      <c r="BO69" s="51"/>
      <c r="BP69" s="51"/>
      <c r="BQ69" s="56"/>
      <c r="BR69" s="44"/>
      <c r="BS69" s="43">
        <f t="shared" si="28"/>
        <v>0</v>
      </c>
    </row>
    <row r="70" spans="1:71" hidden="1">
      <c r="A70" s="634"/>
      <c r="B70" s="488"/>
      <c r="C70" s="489"/>
      <c r="D70" s="488"/>
      <c r="E70" s="488"/>
      <c r="F70" s="488"/>
      <c r="G70" s="488"/>
      <c r="H70" s="488"/>
      <c r="I70" s="488"/>
      <c r="J70" s="488"/>
      <c r="K70" s="488"/>
      <c r="L70" s="488"/>
      <c r="M70" s="488"/>
      <c r="N70" s="488"/>
      <c r="O70" s="488"/>
      <c r="P70" s="488"/>
      <c r="Q70" s="488"/>
      <c r="R70" s="488"/>
      <c r="S70" s="489"/>
      <c r="T70" s="489"/>
      <c r="U70" s="488"/>
      <c r="V70" s="488"/>
      <c r="W70" s="488"/>
      <c r="X70" s="488"/>
      <c r="Y70" s="488"/>
      <c r="Z70" s="488"/>
      <c r="AA70" s="488"/>
      <c r="AB70" s="488"/>
      <c r="AC70" s="488"/>
      <c r="AD70" s="488"/>
      <c r="AE70" s="488"/>
      <c r="AF70" s="488"/>
      <c r="AG70" s="488"/>
      <c r="AH70" s="488"/>
      <c r="AI70" s="488"/>
      <c r="AJ70" s="488"/>
      <c r="AK70" s="488"/>
      <c r="AL70" s="488"/>
      <c r="AM70" s="488"/>
      <c r="AN70" s="489"/>
      <c r="AO70" s="489"/>
      <c r="AP70" s="490"/>
      <c r="AQ70" s="488"/>
      <c r="AR70" s="488"/>
      <c r="AS70" s="488"/>
      <c r="AT70" s="322"/>
      <c r="AU70" s="322"/>
      <c r="AV70" s="322"/>
      <c r="AW70" s="322"/>
      <c r="AX70" s="322"/>
      <c r="AY70" s="322"/>
      <c r="AZ70" s="322"/>
      <c r="BA70" s="324"/>
      <c r="BB70" s="323"/>
      <c r="BC70" s="322"/>
      <c r="BD70" s="322"/>
      <c r="BE70" s="322"/>
      <c r="BF70" s="322"/>
      <c r="BG70" s="322"/>
      <c r="BH70" s="324"/>
      <c r="BI70" s="51"/>
      <c r="BJ70" s="51"/>
      <c r="BK70" s="51"/>
      <c r="BL70" s="51"/>
      <c r="BM70" s="51"/>
      <c r="BN70" s="51"/>
      <c r="BO70" s="51"/>
      <c r="BP70" s="51"/>
      <c r="BQ70" s="56"/>
      <c r="BR70" s="44"/>
      <c r="BS70" s="43">
        <f>SUM(C70:BQ70)</f>
        <v>0</v>
      </c>
    </row>
    <row r="71" spans="1:71" hidden="1">
      <c r="A71" s="328"/>
      <c r="B71" s="329"/>
      <c r="C71" s="331"/>
      <c r="D71" s="329"/>
      <c r="E71" s="329"/>
      <c r="F71" s="329"/>
      <c r="G71" s="329"/>
      <c r="H71" s="329"/>
      <c r="I71" s="329"/>
      <c r="J71" s="329"/>
      <c r="K71" s="329"/>
      <c r="L71" s="329"/>
      <c r="M71" s="329"/>
      <c r="N71" s="329"/>
      <c r="O71" s="329"/>
      <c r="P71" s="329"/>
      <c r="Q71" s="329"/>
      <c r="R71" s="329"/>
      <c r="S71" s="331"/>
      <c r="T71" s="331"/>
      <c r="U71" s="329"/>
      <c r="V71" s="329"/>
      <c r="W71" s="329"/>
      <c r="X71" s="329"/>
      <c r="Y71" s="329"/>
      <c r="Z71" s="329"/>
      <c r="AA71" s="329"/>
      <c r="AB71" s="329"/>
      <c r="AC71" s="329"/>
      <c r="AD71" s="329"/>
      <c r="AE71" s="329"/>
      <c r="AF71" s="329"/>
      <c r="AG71" s="329"/>
      <c r="AH71" s="329"/>
      <c r="AI71" s="329"/>
      <c r="AJ71" s="329"/>
      <c r="AK71" s="329"/>
      <c r="AL71" s="329"/>
      <c r="AM71" s="329"/>
      <c r="AN71" s="331"/>
      <c r="AO71" s="331"/>
      <c r="AP71" s="330"/>
      <c r="AQ71" s="329"/>
      <c r="AR71" s="329"/>
      <c r="AS71" s="329"/>
      <c r="AT71" s="488"/>
      <c r="AU71" s="488"/>
      <c r="AV71" s="488"/>
      <c r="AW71" s="488"/>
      <c r="AX71" s="488"/>
      <c r="AY71" s="488"/>
      <c r="AZ71" s="488"/>
      <c r="BA71" s="489"/>
      <c r="BB71" s="490"/>
      <c r="BC71" s="488"/>
      <c r="BD71" s="488"/>
      <c r="BE71" s="488"/>
      <c r="BF71" s="488"/>
      <c r="BG71" s="488"/>
      <c r="BH71" s="489"/>
      <c r="BI71" s="51"/>
      <c r="BJ71" s="51"/>
      <c r="BK71" s="51"/>
      <c r="BL71" s="51"/>
      <c r="BM71" s="51"/>
      <c r="BN71" s="51"/>
      <c r="BO71" s="51"/>
      <c r="BP71" s="51"/>
      <c r="BQ71" s="56"/>
      <c r="BR71" s="44"/>
      <c r="BS71" s="43">
        <f t="shared" si="28"/>
        <v>0</v>
      </c>
    </row>
    <row r="72" spans="1:71" hidden="1">
      <c r="A72" s="487"/>
      <c r="B72" s="488"/>
      <c r="C72" s="489"/>
      <c r="D72" s="488"/>
      <c r="E72" s="488"/>
      <c r="F72" s="488"/>
      <c r="G72" s="488"/>
      <c r="H72" s="488"/>
      <c r="I72" s="488"/>
      <c r="J72" s="488"/>
      <c r="K72" s="488"/>
      <c r="L72" s="488"/>
      <c r="M72" s="488"/>
      <c r="N72" s="488"/>
      <c r="O72" s="488"/>
      <c r="P72" s="488"/>
      <c r="Q72" s="488"/>
      <c r="R72" s="488"/>
      <c r="S72" s="489"/>
      <c r="T72" s="489"/>
      <c r="U72" s="488"/>
      <c r="V72" s="488"/>
      <c r="W72" s="488"/>
      <c r="X72" s="488"/>
      <c r="Y72" s="488"/>
      <c r="Z72" s="488"/>
      <c r="AA72" s="488"/>
      <c r="AB72" s="488"/>
      <c r="AC72" s="488"/>
      <c r="AD72" s="488"/>
      <c r="AE72" s="488"/>
      <c r="AF72" s="488"/>
      <c r="AG72" s="488"/>
      <c r="AH72" s="488"/>
      <c r="AI72" s="488"/>
      <c r="AJ72" s="488"/>
      <c r="AK72" s="488"/>
      <c r="AL72" s="488"/>
      <c r="AM72" s="488"/>
      <c r="AN72" s="489"/>
      <c r="AO72" s="489"/>
      <c r="AP72" s="490"/>
      <c r="AQ72" s="488"/>
      <c r="AR72" s="488"/>
      <c r="AS72" s="488"/>
      <c r="AT72" s="488"/>
      <c r="AU72" s="488"/>
      <c r="AV72" s="488"/>
      <c r="AW72" s="488"/>
      <c r="AX72" s="488"/>
      <c r="AY72" s="488"/>
      <c r="AZ72" s="488"/>
      <c r="BA72" s="489"/>
      <c r="BB72" s="490"/>
      <c r="BC72" s="488"/>
      <c r="BD72" s="488"/>
      <c r="BE72" s="488"/>
      <c r="BF72" s="488"/>
      <c r="BG72" s="488"/>
      <c r="BH72" s="489"/>
      <c r="BI72" s="51"/>
      <c r="BJ72" s="51"/>
      <c r="BK72" s="51"/>
      <c r="BL72" s="51"/>
      <c r="BM72" s="51"/>
      <c r="BN72" s="51"/>
      <c r="BO72" s="51"/>
      <c r="BP72" s="51"/>
      <c r="BQ72" s="56"/>
      <c r="BR72" s="44"/>
      <c r="BS72" s="43">
        <f t="shared" si="28"/>
        <v>0</v>
      </c>
    </row>
    <row r="73" spans="1:71" ht="7.5" hidden="1" thickBot="1">
      <c r="A73" s="487"/>
      <c r="B73" s="488"/>
      <c r="C73" s="489"/>
      <c r="D73" s="488"/>
      <c r="E73" s="488"/>
      <c r="F73" s="488"/>
      <c r="G73" s="488"/>
      <c r="H73" s="488"/>
      <c r="I73" s="488"/>
      <c r="J73" s="488"/>
      <c r="K73" s="488"/>
      <c r="L73" s="488"/>
      <c r="M73" s="488"/>
      <c r="N73" s="488"/>
      <c r="O73" s="488"/>
      <c r="P73" s="488"/>
      <c r="Q73" s="488"/>
      <c r="R73" s="488"/>
      <c r="S73" s="489"/>
      <c r="T73" s="489"/>
      <c r="U73" s="488"/>
      <c r="V73" s="488"/>
      <c r="W73" s="488"/>
      <c r="X73" s="488"/>
      <c r="Y73" s="488"/>
      <c r="Z73" s="488"/>
      <c r="AA73" s="488"/>
      <c r="AB73" s="488"/>
      <c r="AC73" s="488"/>
      <c r="AD73" s="488"/>
      <c r="AE73" s="488"/>
      <c r="AF73" s="488"/>
      <c r="AG73" s="488"/>
      <c r="AH73" s="488"/>
      <c r="AI73" s="488"/>
      <c r="AJ73" s="488"/>
      <c r="AK73" s="488"/>
      <c r="AL73" s="488"/>
      <c r="AM73" s="488"/>
      <c r="AN73" s="489"/>
      <c r="AO73" s="489"/>
      <c r="AP73" s="490"/>
      <c r="AQ73" s="488"/>
      <c r="AR73" s="488"/>
      <c r="AS73" s="488"/>
      <c r="AT73" s="488"/>
      <c r="AU73" s="488"/>
      <c r="AV73" s="488"/>
      <c r="AW73" s="488"/>
      <c r="AX73" s="488"/>
      <c r="AY73" s="488"/>
      <c r="AZ73" s="488"/>
      <c r="BA73" s="489"/>
      <c r="BB73" s="490"/>
      <c r="BC73" s="488"/>
      <c r="BD73" s="488"/>
      <c r="BE73" s="488"/>
      <c r="BF73" s="488"/>
      <c r="BG73" s="488"/>
      <c r="BH73" s="489"/>
      <c r="BI73" s="51"/>
      <c r="BJ73" s="51"/>
      <c r="BK73" s="51"/>
      <c r="BL73" s="51"/>
      <c r="BM73" s="51"/>
      <c r="BN73" s="51"/>
      <c r="BO73" s="51"/>
      <c r="BP73" s="51"/>
      <c r="BQ73" s="56"/>
      <c r="BR73" s="44"/>
      <c r="BS73" s="43">
        <f t="shared" si="28"/>
        <v>0</v>
      </c>
    </row>
    <row r="74" spans="1:71" ht="7.5" hidden="1" thickBot="1">
      <c r="A74" s="487"/>
      <c r="B74" s="488"/>
      <c r="C74" s="489"/>
      <c r="D74" s="488"/>
      <c r="E74" s="488"/>
      <c r="F74" s="488"/>
      <c r="G74" s="488"/>
      <c r="H74" s="488"/>
      <c r="I74" s="488"/>
      <c r="J74" s="488"/>
      <c r="K74" s="488"/>
      <c r="L74" s="488"/>
      <c r="M74" s="488"/>
      <c r="N74" s="488"/>
      <c r="O74" s="488"/>
      <c r="P74" s="488"/>
      <c r="Q74" s="488"/>
      <c r="R74" s="488"/>
      <c r="S74" s="489"/>
      <c r="T74" s="489"/>
      <c r="U74" s="488"/>
      <c r="V74" s="488"/>
      <c r="W74" s="488"/>
      <c r="X74" s="488"/>
      <c r="Y74" s="488"/>
      <c r="Z74" s="488"/>
      <c r="AA74" s="488"/>
      <c r="AB74" s="488"/>
      <c r="AC74" s="488"/>
      <c r="AD74" s="488"/>
      <c r="AE74" s="488"/>
      <c r="AF74" s="488"/>
      <c r="AG74" s="488"/>
      <c r="AH74" s="488"/>
      <c r="AI74" s="488"/>
      <c r="AJ74" s="488"/>
      <c r="AK74" s="488"/>
      <c r="AL74" s="488"/>
      <c r="AM74" s="488"/>
      <c r="AN74" s="489"/>
      <c r="AO74" s="489"/>
      <c r="AP74" s="490"/>
      <c r="AQ74" s="488"/>
      <c r="AR74" s="488"/>
      <c r="AS74" s="488"/>
      <c r="AT74" s="488"/>
      <c r="AU74" s="488"/>
      <c r="AV74" s="488"/>
      <c r="AW74" s="488"/>
      <c r="AX74" s="488"/>
      <c r="AY74" s="488"/>
      <c r="AZ74" s="488"/>
      <c r="BA74" s="489"/>
      <c r="BB74" s="490"/>
      <c r="BC74" s="488"/>
      <c r="BD74" s="488"/>
      <c r="BE74" s="488"/>
      <c r="BF74" s="488"/>
      <c r="BG74" s="488"/>
      <c r="BH74" s="489"/>
      <c r="BI74" s="51"/>
      <c r="BJ74" s="51"/>
      <c r="BK74" s="51"/>
      <c r="BL74" s="51"/>
      <c r="BM74" s="51"/>
      <c r="BN74" s="51"/>
      <c r="BO74" s="51"/>
      <c r="BP74" s="51"/>
      <c r="BQ74" s="56"/>
      <c r="BR74" s="44"/>
      <c r="BS74" s="43">
        <f t="shared" ref="BS74:BS81" si="29">SUM(C74:BQ74)</f>
        <v>0</v>
      </c>
    </row>
    <row r="75" spans="1:71" ht="7.5" hidden="1" thickBot="1">
      <c r="A75" s="487"/>
      <c r="B75" s="488"/>
      <c r="C75" s="489"/>
      <c r="D75" s="488"/>
      <c r="E75" s="488"/>
      <c r="F75" s="488"/>
      <c r="G75" s="488"/>
      <c r="H75" s="488"/>
      <c r="I75" s="488"/>
      <c r="J75" s="488"/>
      <c r="K75" s="488"/>
      <c r="L75" s="488"/>
      <c r="M75" s="488"/>
      <c r="N75" s="488"/>
      <c r="O75" s="488"/>
      <c r="P75" s="488"/>
      <c r="Q75" s="488"/>
      <c r="R75" s="488"/>
      <c r="S75" s="489"/>
      <c r="T75" s="489"/>
      <c r="U75" s="488"/>
      <c r="V75" s="488"/>
      <c r="W75" s="488"/>
      <c r="X75" s="488"/>
      <c r="Y75" s="488"/>
      <c r="Z75" s="488"/>
      <c r="AA75" s="488"/>
      <c r="AB75" s="488"/>
      <c r="AC75" s="488"/>
      <c r="AD75" s="488"/>
      <c r="AE75" s="488"/>
      <c r="AF75" s="488"/>
      <c r="AG75" s="488"/>
      <c r="AH75" s="488"/>
      <c r="AI75" s="488"/>
      <c r="AJ75" s="488"/>
      <c r="AK75" s="488"/>
      <c r="AL75" s="488"/>
      <c r="AM75" s="488"/>
      <c r="AN75" s="489"/>
      <c r="AO75" s="489"/>
      <c r="AP75" s="490"/>
      <c r="AQ75" s="488"/>
      <c r="AR75" s="488"/>
      <c r="AS75" s="488"/>
      <c r="AT75" s="488"/>
      <c r="AU75" s="488"/>
      <c r="AV75" s="488"/>
      <c r="AW75" s="488"/>
      <c r="AX75" s="488"/>
      <c r="AY75" s="488"/>
      <c r="AZ75" s="488"/>
      <c r="BA75" s="489"/>
      <c r="BB75" s="490"/>
      <c r="BC75" s="488"/>
      <c r="BD75" s="488"/>
      <c r="BE75" s="488"/>
      <c r="BF75" s="488"/>
      <c r="BG75" s="488"/>
      <c r="BH75" s="489"/>
      <c r="BI75" s="51"/>
      <c r="BJ75" s="51"/>
      <c r="BK75" s="51"/>
      <c r="BL75" s="51"/>
      <c r="BM75" s="51"/>
      <c r="BN75" s="51"/>
      <c r="BO75" s="51"/>
      <c r="BP75" s="51"/>
      <c r="BQ75" s="56"/>
      <c r="BR75" s="44"/>
      <c r="BS75" s="43">
        <f t="shared" si="29"/>
        <v>0</v>
      </c>
    </row>
    <row r="76" spans="1:71" ht="7.5" hidden="1" thickBot="1">
      <c r="A76" s="328"/>
      <c r="B76" s="329"/>
      <c r="C76" s="331"/>
      <c r="D76" s="329"/>
      <c r="E76" s="329"/>
      <c r="F76" s="329"/>
      <c r="G76" s="329"/>
      <c r="H76" s="329"/>
      <c r="I76" s="329"/>
      <c r="J76" s="329"/>
      <c r="K76" s="329"/>
      <c r="L76" s="329"/>
      <c r="M76" s="329"/>
      <c r="N76" s="329"/>
      <c r="O76" s="329"/>
      <c r="P76" s="329"/>
      <c r="Q76" s="329"/>
      <c r="R76" s="329"/>
      <c r="S76" s="331"/>
      <c r="T76" s="331"/>
      <c r="U76" s="329"/>
      <c r="V76" s="329"/>
      <c r="W76" s="329"/>
      <c r="X76" s="329"/>
      <c r="Y76" s="329"/>
      <c r="Z76" s="329"/>
      <c r="AA76" s="329"/>
      <c r="AB76" s="329"/>
      <c r="AC76" s="329"/>
      <c r="AD76" s="329"/>
      <c r="AE76" s="329"/>
      <c r="AF76" s="329"/>
      <c r="AG76" s="329"/>
      <c r="AH76" s="329"/>
      <c r="AI76" s="329"/>
      <c r="AJ76" s="329"/>
      <c r="AK76" s="329"/>
      <c r="AL76" s="329"/>
      <c r="AM76" s="329"/>
      <c r="AN76" s="331"/>
      <c r="AO76" s="331"/>
      <c r="AP76" s="330"/>
      <c r="AQ76" s="329"/>
      <c r="AR76" s="329"/>
      <c r="AS76" s="329"/>
      <c r="AT76" s="329"/>
      <c r="AU76" s="329"/>
      <c r="AV76" s="329"/>
      <c r="AW76" s="329"/>
      <c r="AX76" s="329"/>
      <c r="AY76" s="329"/>
      <c r="AZ76" s="329"/>
      <c r="BA76" s="331"/>
      <c r="BB76" s="330"/>
      <c r="BC76" s="329"/>
      <c r="BD76" s="329"/>
      <c r="BE76" s="329"/>
      <c r="BF76" s="329"/>
      <c r="BG76" s="329"/>
      <c r="BH76" s="331"/>
      <c r="BI76" s="51"/>
      <c r="BJ76" s="51"/>
      <c r="BK76" s="51"/>
      <c r="BL76" s="51"/>
      <c r="BM76" s="51"/>
      <c r="BN76" s="51"/>
      <c r="BO76" s="51"/>
      <c r="BP76" s="51"/>
      <c r="BQ76" s="56"/>
      <c r="BR76" s="44"/>
      <c r="BS76" s="43">
        <f t="shared" si="29"/>
        <v>0</v>
      </c>
    </row>
    <row r="77" spans="1:71" ht="7.5" hidden="1" thickBot="1">
      <c r="A77" s="487"/>
      <c r="B77" s="488"/>
      <c r="C77" s="489"/>
      <c r="D77" s="488"/>
      <c r="E77" s="488"/>
      <c r="F77" s="488"/>
      <c r="G77" s="488"/>
      <c r="H77" s="488"/>
      <c r="I77" s="488"/>
      <c r="J77" s="488"/>
      <c r="K77" s="488"/>
      <c r="L77" s="488"/>
      <c r="M77" s="488"/>
      <c r="N77" s="488"/>
      <c r="O77" s="488"/>
      <c r="P77" s="488"/>
      <c r="Q77" s="488"/>
      <c r="R77" s="488"/>
      <c r="S77" s="489"/>
      <c r="T77" s="489"/>
      <c r="U77" s="488"/>
      <c r="V77" s="488"/>
      <c r="W77" s="488"/>
      <c r="X77" s="488"/>
      <c r="Y77" s="488"/>
      <c r="Z77" s="488"/>
      <c r="AA77" s="488"/>
      <c r="AB77" s="488"/>
      <c r="AC77" s="488"/>
      <c r="AD77" s="488"/>
      <c r="AE77" s="488"/>
      <c r="AF77" s="488"/>
      <c r="AG77" s="488"/>
      <c r="AH77" s="488"/>
      <c r="AI77" s="488"/>
      <c r="AJ77" s="488"/>
      <c r="AK77" s="488"/>
      <c r="AL77" s="488"/>
      <c r="AM77" s="488"/>
      <c r="AN77" s="489"/>
      <c r="AO77" s="489"/>
      <c r="AP77" s="490"/>
      <c r="AQ77" s="488"/>
      <c r="AR77" s="488"/>
      <c r="AS77" s="488"/>
      <c r="AT77" s="488"/>
      <c r="AU77" s="488"/>
      <c r="AV77" s="488"/>
      <c r="AW77" s="488"/>
      <c r="AX77" s="488"/>
      <c r="AY77" s="488"/>
      <c r="AZ77" s="488"/>
      <c r="BA77" s="489"/>
      <c r="BB77" s="490"/>
      <c r="BC77" s="488"/>
      <c r="BD77" s="488"/>
      <c r="BE77" s="488"/>
      <c r="BF77" s="488"/>
      <c r="BG77" s="488"/>
      <c r="BH77" s="489"/>
      <c r="BI77" s="51"/>
      <c r="BJ77" s="51"/>
      <c r="BK77" s="51"/>
      <c r="BL77" s="51"/>
      <c r="BM77" s="51"/>
      <c r="BN77" s="51"/>
      <c r="BO77" s="51"/>
      <c r="BP77" s="51"/>
      <c r="BQ77" s="56"/>
      <c r="BR77" s="44"/>
      <c r="BS77" s="43">
        <f t="shared" si="29"/>
        <v>0</v>
      </c>
    </row>
    <row r="78" spans="1:71" ht="7.5" hidden="1" thickBot="1">
      <c r="A78" s="487"/>
      <c r="B78" s="488"/>
      <c r="C78" s="489"/>
      <c r="D78" s="488"/>
      <c r="E78" s="488"/>
      <c r="F78" s="488"/>
      <c r="G78" s="488"/>
      <c r="H78" s="488"/>
      <c r="I78" s="488"/>
      <c r="J78" s="488"/>
      <c r="K78" s="488"/>
      <c r="L78" s="488"/>
      <c r="M78" s="488"/>
      <c r="N78" s="488"/>
      <c r="O78" s="488"/>
      <c r="P78" s="488"/>
      <c r="Q78" s="488"/>
      <c r="R78" s="488"/>
      <c r="S78" s="489"/>
      <c r="T78" s="489"/>
      <c r="U78" s="488"/>
      <c r="V78" s="488"/>
      <c r="W78" s="488"/>
      <c r="X78" s="488"/>
      <c r="Y78" s="488"/>
      <c r="Z78" s="488"/>
      <c r="AA78" s="488"/>
      <c r="AB78" s="488"/>
      <c r="AC78" s="488"/>
      <c r="AD78" s="488"/>
      <c r="AE78" s="488"/>
      <c r="AF78" s="488"/>
      <c r="AG78" s="488"/>
      <c r="AH78" s="488"/>
      <c r="AI78" s="488"/>
      <c r="AJ78" s="488"/>
      <c r="AK78" s="488"/>
      <c r="AL78" s="488"/>
      <c r="AM78" s="488"/>
      <c r="AN78" s="489"/>
      <c r="AO78" s="489"/>
      <c r="AP78" s="490"/>
      <c r="AQ78" s="488"/>
      <c r="AR78" s="488"/>
      <c r="AS78" s="488"/>
      <c r="AT78" s="488"/>
      <c r="AU78" s="488"/>
      <c r="AV78" s="488"/>
      <c r="AW78" s="488"/>
      <c r="AX78" s="488"/>
      <c r="AY78" s="488"/>
      <c r="AZ78" s="488"/>
      <c r="BA78" s="489"/>
      <c r="BB78" s="490"/>
      <c r="BC78" s="488"/>
      <c r="BD78" s="488"/>
      <c r="BE78" s="488"/>
      <c r="BF78" s="488"/>
      <c r="BG78" s="488"/>
      <c r="BH78" s="489"/>
      <c r="BI78" s="51"/>
      <c r="BJ78" s="51"/>
      <c r="BK78" s="51"/>
      <c r="BL78" s="51"/>
      <c r="BM78" s="51"/>
      <c r="BN78" s="51"/>
      <c r="BO78" s="51"/>
      <c r="BP78" s="51"/>
      <c r="BQ78" s="56"/>
      <c r="BR78" s="44"/>
      <c r="BS78" s="43">
        <f t="shared" si="29"/>
        <v>0</v>
      </c>
    </row>
    <row r="79" spans="1:71" ht="7.5" hidden="1" thickBot="1">
      <c r="A79" s="487"/>
      <c r="B79" s="488"/>
      <c r="C79" s="489"/>
      <c r="D79" s="488"/>
      <c r="E79" s="488"/>
      <c r="F79" s="488"/>
      <c r="G79" s="488"/>
      <c r="H79" s="488"/>
      <c r="I79" s="488"/>
      <c r="J79" s="488"/>
      <c r="K79" s="488"/>
      <c r="L79" s="488"/>
      <c r="M79" s="488"/>
      <c r="N79" s="488"/>
      <c r="O79" s="488"/>
      <c r="P79" s="488"/>
      <c r="Q79" s="488"/>
      <c r="R79" s="488"/>
      <c r="S79" s="489"/>
      <c r="T79" s="489"/>
      <c r="U79" s="488"/>
      <c r="V79" s="488"/>
      <c r="W79" s="488"/>
      <c r="X79" s="488"/>
      <c r="Y79" s="488"/>
      <c r="Z79" s="488"/>
      <c r="AA79" s="488"/>
      <c r="AB79" s="488"/>
      <c r="AC79" s="488"/>
      <c r="AD79" s="488"/>
      <c r="AE79" s="488"/>
      <c r="AF79" s="488"/>
      <c r="AG79" s="488"/>
      <c r="AH79" s="488"/>
      <c r="AI79" s="488"/>
      <c r="AJ79" s="488"/>
      <c r="AK79" s="488"/>
      <c r="AL79" s="488"/>
      <c r="AM79" s="488"/>
      <c r="AN79" s="489"/>
      <c r="AO79" s="489"/>
      <c r="AP79" s="490"/>
      <c r="AQ79" s="488"/>
      <c r="AR79" s="488"/>
      <c r="AS79" s="488"/>
      <c r="AT79" s="488"/>
      <c r="AU79" s="488"/>
      <c r="AV79" s="488"/>
      <c r="AW79" s="488"/>
      <c r="AX79" s="488"/>
      <c r="AY79" s="488"/>
      <c r="AZ79" s="488"/>
      <c r="BA79" s="489"/>
      <c r="BB79" s="490"/>
      <c r="BC79" s="488"/>
      <c r="BD79" s="488"/>
      <c r="BE79" s="488"/>
      <c r="BF79" s="488"/>
      <c r="BG79" s="488"/>
      <c r="BH79" s="489"/>
      <c r="BI79" s="51"/>
      <c r="BJ79" s="51"/>
      <c r="BK79" s="51"/>
      <c r="BL79" s="51"/>
      <c r="BM79" s="51"/>
      <c r="BN79" s="51"/>
      <c r="BO79" s="51"/>
      <c r="BP79" s="51"/>
      <c r="BQ79" s="56"/>
      <c r="BR79" s="44"/>
      <c r="BS79" s="43">
        <f t="shared" si="29"/>
        <v>0</v>
      </c>
    </row>
    <row r="80" spans="1:71" ht="7.5" hidden="1" thickBot="1">
      <c r="A80" s="487"/>
      <c r="B80" s="488"/>
      <c r="C80" s="489"/>
      <c r="D80" s="488"/>
      <c r="E80" s="488"/>
      <c r="F80" s="488"/>
      <c r="G80" s="488"/>
      <c r="H80" s="488"/>
      <c r="I80" s="488"/>
      <c r="J80" s="488"/>
      <c r="K80" s="488"/>
      <c r="L80" s="488"/>
      <c r="M80" s="488"/>
      <c r="N80" s="488"/>
      <c r="O80" s="488"/>
      <c r="P80" s="488"/>
      <c r="Q80" s="488"/>
      <c r="R80" s="488"/>
      <c r="S80" s="489"/>
      <c r="T80" s="489"/>
      <c r="U80" s="488"/>
      <c r="V80" s="488"/>
      <c r="W80" s="488"/>
      <c r="X80" s="488"/>
      <c r="Y80" s="488"/>
      <c r="Z80" s="488"/>
      <c r="AA80" s="488"/>
      <c r="AB80" s="488"/>
      <c r="AC80" s="488"/>
      <c r="AD80" s="488"/>
      <c r="AE80" s="488"/>
      <c r="AF80" s="488"/>
      <c r="AG80" s="488"/>
      <c r="AH80" s="488"/>
      <c r="AI80" s="488"/>
      <c r="AJ80" s="488"/>
      <c r="AK80" s="488"/>
      <c r="AL80" s="488"/>
      <c r="AM80" s="488"/>
      <c r="AN80" s="489"/>
      <c r="AO80" s="489"/>
      <c r="AP80" s="490"/>
      <c r="AQ80" s="488"/>
      <c r="AR80" s="488"/>
      <c r="AS80" s="488"/>
      <c r="AT80" s="488"/>
      <c r="AU80" s="488"/>
      <c r="AV80" s="488"/>
      <c r="AW80" s="488"/>
      <c r="AX80" s="488"/>
      <c r="AY80" s="488"/>
      <c r="AZ80" s="488"/>
      <c r="BA80" s="489"/>
      <c r="BB80" s="490"/>
      <c r="BC80" s="488"/>
      <c r="BD80" s="488"/>
      <c r="BE80" s="488"/>
      <c r="BF80" s="488"/>
      <c r="BG80" s="488"/>
      <c r="BH80" s="489"/>
      <c r="BI80" s="51"/>
      <c r="BJ80" s="51"/>
      <c r="BK80" s="51"/>
      <c r="BL80" s="51"/>
      <c r="BM80" s="51"/>
      <c r="BN80" s="51"/>
      <c r="BO80" s="51"/>
      <c r="BP80" s="51"/>
      <c r="BQ80" s="56"/>
      <c r="BR80" s="44"/>
      <c r="BS80" s="43">
        <f t="shared" si="29"/>
        <v>0</v>
      </c>
    </row>
    <row r="81" spans="1:71" ht="7.5" hidden="1" thickBot="1">
      <c r="A81" s="328"/>
      <c r="B81" s="329"/>
      <c r="C81" s="331"/>
      <c r="D81" s="329"/>
      <c r="E81" s="329"/>
      <c r="F81" s="329"/>
      <c r="G81" s="329"/>
      <c r="H81" s="329"/>
      <c r="I81" s="329"/>
      <c r="J81" s="329"/>
      <c r="K81" s="329"/>
      <c r="L81" s="329"/>
      <c r="M81" s="329"/>
      <c r="N81" s="329"/>
      <c r="O81" s="329"/>
      <c r="P81" s="329"/>
      <c r="Q81" s="329"/>
      <c r="R81" s="329"/>
      <c r="S81" s="331"/>
      <c r="T81" s="331"/>
      <c r="U81" s="329"/>
      <c r="V81" s="329"/>
      <c r="W81" s="329"/>
      <c r="X81" s="329"/>
      <c r="Y81" s="329"/>
      <c r="Z81" s="329"/>
      <c r="AA81" s="329"/>
      <c r="AB81" s="329"/>
      <c r="AC81" s="329"/>
      <c r="AD81" s="329"/>
      <c r="AE81" s="329"/>
      <c r="AF81" s="329"/>
      <c r="AG81" s="329"/>
      <c r="AH81" s="329"/>
      <c r="AI81" s="329"/>
      <c r="AJ81" s="329"/>
      <c r="AK81" s="329"/>
      <c r="AL81" s="329"/>
      <c r="AM81" s="329"/>
      <c r="AN81" s="331"/>
      <c r="AO81" s="331"/>
      <c r="AP81" s="330"/>
      <c r="AQ81" s="329"/>
      <c r="AR81" s="329"/>
      <c r="AS81" s="329"/>
      <c r="AT81" s="329"/>
      <c r="AU81" s="329"/>
      <c r="AV81" s="329"/>
      <c r="AW81" s="329"/>
      <c r="AX81" s="329"/>
      <c r="AY81" s="329"/>
      <c r="AZ81" s="329"/>
      <c r="BA81" s="331"/>
      <c r="BB81" s="330"/>
      <c r="BC81" s="329"/>
      <c r="BD81" s="329"/>
      <c r="BE81" s="329"/>
      <c r="BF81" s="329"/>
      <c r="BG81" s="329"/>
      <c r="BH81" s="331"/>
      <c r="BI81" s="51"/>
      <c r="BJ81" s="51"/>
      <c r="BK81" s="51"/>
      <c r="BL81" s="51"/>
      <c r="BM81" s="51"/>
      <c r="BN81" s="51"/>
      <c r="BO81" s="51"/>
      <c r="BP81" s="51"/>
      <c r="BQ81" s="56"/>
      <c r="BR81" s="44"/>
      <c r="BS81" s="43">
        <f t="shared" si="29"/>
        <v>0</v>
      </c>
    </row>
    <row r="82" spans="1:71" ht="8" thickTop="1" thickBot="1">
      <c r="A82" s="114" t="s">
        <v>22</v>
      </c>
      <c r="B82" s="57">
        <f t="shared" ref="B82:AG82" si="30">SUM(B59:B81)</f>
        <v>0</v>
      </c>
      <c r="C82" s="81">
        <f t="shared" si="30"/>
        <v>0</v>
      </c>
      <c r="D82" s="57">
        <f t="shared" si="30"/>
        <v>0</v>
      </c>
      <c r="E82" s="57">
        <f t="shared" si="30"/>
        <v>0</v>
      </c>
      <c r="F82" s="57">
        <f t="shared" si="30"/>
        <v>0</v>
      </c>
      <c r="G82" s="57">
        <f t="shared" si="30"/>
        <v>0</v>
      </c>
      <c r="H82" s="57">
        <f t="shared" si="30"/>
        <v>0</v>
      </c>
      <c r="I82" s="57">
        <f t="shared" si="30"/>
        <v>0</v>
      </c>
      <c r="J82" s="57">
        <f t="shared" si="30"/>
        <v>0</v>
      </c>
      <c r="K82" s="57">
        <f t="shared" si="30"/>
        <v>0</v>
      </c>
      <c r="L82" s="57">
        <f t="shared" si="30"/>
        <v>0</v>
      </c>
      <c r="M82" s="57">
        <f t="shared" si="30"/>
        <v>0</v>
      </c>
      <c r="N82" s="57">
        <f t="shared" si="30"/>
        <v>0</v>
      </c>
      <c r="O82" s="57">
        <f t="shared" si="30"/>
        <v>0</v>
      </c>
      <c r="P82" s="57">
        <f t="shared" si="30"/>
        <v>0</v>
      </c>
      <c r="Q82" s="57">
        <f t="shared" si="30"/>
        <v>0</v>
      </c>
      <c r="R82" s="57">
        <f t="shared" si="30"/>
        <v>0</v>
      </c>
      <c r="S82" s="81">
        <f t="shared" si="30"/>
        <v>0</v>
      </c>
      <c r="T82" s="81">
        <f t="shared" si="30"/>
        <v>0</v>
      </c>
      <c r="U82" s="57">
        <f t="shared" si="30"/>
        <v>0</v>
      </c>
      <c r="V82" s="57">
        <f t="shared" si="30"/>
        <v>0</v>
      </c>
      <c r="W82" s="57">
        <f t="shared" si="30"/>
        <v>0</v>
      </c>
      <c r="X82" s="57">
        <f t="shared" si="30"/>
        <v>0</v>
      </c>
      <c r="Y82" s="57">
        <f t="shared" si="30"/>
        <v>0</v>
      </c>
      <c r="Z82" s="57">
        <f t="shared" si="30"/>
        <v>0</v>
      </c>
      <c r="AA82" s="57">
        <f t="shared" si="30"/>
        <v>0</v>
      </c>
      <c r="AB82" s="57">
        <f t="shared" si="30"/>
        <v>0</v>
      </c>
      <c r="AC82" s="57">
        <f t="shared" si="30"/>
        <v>0</v>
      </c>
      <c r="AD82" s="57">
        <f t="shared" si="30"/>
        <v>0</v>
      </c>
      <c r="AE82" s="57">
        <f t="shared" si="30"/>
        <v>0</v>
      </c>
      <c r="AF82" s="57">
        <f t="shared" si="30"/>
        <v>0</v>
      </c>
      <c r="AG82" s="57">
        <f t="shared" si="30"/>
        <v>0</v>
      </c>
      <c r="AH82" s="57">
        <f t="shared" ref="AH82:BM82" si="31">SUM(AH59:AH81)</f>
        <v>0</v>
      </c>
      <c r="AI82" s="57">
        <f t="shared" si="31"/>
        <v>0</v>
      </c>
      <c r="AJ82" s="57">
        <f t="shared" si="31"/>
        <v>0</v>
      </c>
      <c r="AK82" s="57">
        <f t="shared" si="31"/>
        <v>0</v>
      </c>
      <c r="AL82" s="57">
        <f t="shared" si="31"/>
        <v>0</v>
      </c>
      <c r="AM82" s="57">
        <f t="shared" si="31"/>
        <v>0</v>
      </c>
      <c r="AN82" s="81">
        <f t="shared" si="31"/>
        <v>0</v>
      </c>
      <c r="AO82" s="81">
        <f t="shared" si="31"/>
        <v>19.5</v>
      </c>
      <c r="AP82" s="111">
        <f t="shared" si="31"/>
        <v>0</v>
      </c>
      <c r="AQ82" s="57">
        <f t="shared" si="31"/>
        <v>0</v>
      </c>
      <c r="AR82" s="57">
        <f t="shared" si="31"/>
        <v>0</v>
      </c>
      <c r="AS82" s="57">
        <f t="shared" si="31"/>
        <v>0</v>
      </c>
      <c r="AT82" s="57">
        <f t="shared" si="31"/>
        <v>0</v>
      </c>
      <c r="AU82" s="57">
        <f t="shared" si="31"/>
        <v>0</v>
      </c>
      <c r="AV82" s="57">
        <f t="shared" si="31"/>
        <v>0</v>
      </c>
      <c r="AW82" s="57">
        <f t="shared" si="31"/>
        <v>0</v>
      </c>
      <c r="AX82" s="57">
        <f t="shared" si="31"/>
        <v>0</v>
      </c>
      <c r="AY82" s="57">
        <f t="shared" si="31"/>
        <v>0</v>
      </c>
      <c r="AZ82" s="57">
        <f t="shared" si="31"/>
        <v>0</v>
      </c>
      <c r="BA82" s="81">
        <f t="shared" si="31"/>
        <v>0</v>
      </c>
      <c r="BB82" s="111">
        <f t="shared" si="31"/>
        <v>0</v>
      </c>
      <c r="BC82" s="57">
        <f t="shared" si="31"/>
        <v>0</v>
      </c>
      <c r="BD82" s="57">
        <f t="shared" si="31"/>
        <v>0</v>
      </c>
      <c r="BE82" s="57">
        <f t="shared" si="31"/>
        <v>0</v>
      </c>
      <c r="BF82" s="57">
        <f t="shared" si="31"/>
        <v>0</v>
      </c>
      <c r="BG82" s="57">
        <f t="shared" si="31"/>
        <v>0</v>
      </c>
      <c r="BH82" s="57">
        <f t="shared" si="31"/>
        <v>0</v>
      </c>
      <c r="BI82" s="57">
        <f t="shared" si="31"/>
        <v>0</v>
      </c>
      <c r="BJ82" s="57">
        <f t="shared" si="31"/>
        <v>0</v>
      </c>
      <c r="BK82" s="57">
        <f t="shared" si="31"/>
        <v>0</v>
      </c>
      <c r="BL82" s="57">
        <f t="shared" si="31"/>
        <v>0</v>
      </c>
      <c r="BM82" s="57">
        <f t="shared" si="31"/>
        <v>0</v>
      </c>
      <c r="BN82" s="57">
        <f>SUM(BN59:BN81)</f>
        <v>0</v>
      </c>
      <c r="BO82" s="57">
        <f>SUM(BO59:BO81)</f>
        <v>0</v>
      </c>
      <c r="BP82" s="57">
        <f>SUM(BP59:BP81)</f>
        <v>0</v>
      </c>
      <c r="BQ82" s="117">
        <f>SUM(BQ59:BQ81)</f>
        <v>0</v>
      </c>
      <c r="BR82" s="44"/>
      <c r="BS82" s="249">
        <f>SUM(B82:BQ82)</f>
        <v>19.5</v>
      </c>
    </row>
    <row r="83" spans="1:71" ht="7.5" thickTop="1">
      <c r="A83" s="11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1"/>
      <c r="BS83" s="1"/>
    </row>
    <row r="85" spans="1:71">
      <c r="B85" s="116" t="str">
        <f t="shared" ref="B85:AG85" si="32">IF(B38++B45+ B56+B82=0,"HIDE","")</f>
        <v>HIDE</v>
      </c>
      <c r="C85" s="116" t="str">
        <f t="shared" si="32"/>
        <v>HIDE</v>
      </c>
      <c r="D85" s="116" t="str">
        <f t="shared" si="32"/>
        <v>HIDE</v>
      </c>
      <c r="E85" s="116" t="str">
        <f t="shared" si="32"/>
        <v>HIDE</v>
      </c>
      <c r="F85" s="116" t="str">
        <f t="shared" si="32"/>
        <v>HIDE</v>
      </c>
      <c r="G85" s="116" t="str">
        <f t="shared" si="32"/>
        <v/>
      </c>
      <c r="H85" s="116" t="str">
        <f t="shared" si="32"/>
        <v/>
      </c>
      <c r="I85" s="116" t="str">
        <f t="shared" si="32"/>
        <v>HIDE</v>
      </c>
      <c r="J85" s="116" t="str">
        <f t="shared" si="32"/>
        <v>HIDE</v>
      </c>
      <c r="K85" s="116" t="str">
        <f t="shared" si="32"/>
        <v>HIDE</v>
      </c>
      <c r="L85" s="116" t="str">
        <f t="shared" si="32"/>
        <v>HIDE</v>
      </c>
      <c r="M85" s="116" t="str">
        <f t="shared" si="32"/>
        <v>HIDE</v>
      </c>
      <c r="N85" s="116" t="str">
        <f t="shared" si="32"/>
        <v/>
      </c>
      <c r="O85" s="116" t="str">
        <f t="shared" si="32"/>
        <v/>
      </c>
      <c r="P85" s="116" t="str">
        <f t="shared" si="32"/>
        <v/>
      </c>
      <c r="Q85" s="116" t="str">
        <f t="shared" si="32"/>
        <v/>
      </c>
      <c r="R85" s="116" t="str">
        <f t="shared" si="32"/>
        <v>HIDE</v>
      </c>
      <c r="S85" s="116" t="str">
        <f t="shared" si="32"/>
        <v>HIDE</v>
      </c>
      <c r="T85" s="116" t="str">
        <f t="shared" si="32"/>
        <v>HIDE</v>
      </c>
      <c r="U85" s="116" t="str">
        <f t="shared" si="32"/>
        <v>HIDE</v>
      </c>
      <c r="V85" s="116" t="str">
        <f t="shared" si="32"/>
        <v>HIDE</v>
      </c>
      <c r="W85" s="116" t="str">
        <f t="shared" si="32"/>
        <v>HIDE</v>
      </c>
      <c r="X85" s="116" t="str">
        <f t="shared" si="32"/>
        <v>HIDE</v>
      </c>
      <c r="Y85" s="116" t="str">
        <f t="shared" si="32"/>
        <v>HIDE</v>
      </c>
      <c r="Z85" s="116" t="str">
        <f t="shared" si="32"/>
        <v>HIDE</v>
      </c>
      <c r="AA85" s="116" t="str">
        <f t="shared" si="32"/>
        <v>HIDE</v>
      </c>
      <c r="AB85" s="116" t="str">
        <f t="shared" si="32"/>
        <v>HIDE</v>
      </c>
      <c r="AC85" s="116" t="str">
        <f t="shared" si="32"/>
        <v>HIDE</v>
      </c>
      <c r="AD85" s="116" t="str">
        <f t="shared" si="32"/>
        <v>HIDE</v>
      </c>
      <c r="AE85" s="116" t="str">
        <f t="shared" si="32"/>
        <v>HIDE</v>
      </c>
      <c r="AF85" s="116" t="str">
        <f t="shared" si="32"/>
        <v>HIDE</v>
      </c>
      <c r="AG85" s="116" t="str">
        <f t="shared" si="32"/>
        <v>HIDE</v>
      </c>
      <c r="AH85" s="116" t="str">
        <f t="shared" ref="AH85:BP85" si="33">IF(AH38++AH45+ AH56+AH82=0,"HIDE","")</f>
        <v>HIDE</v>
      </c>
      <c r="AI85" s="116" t="str">
        <f t="shared" si="33"/>
        <v>HIDE</v>
      </c>
      <c r="AJ85" s="116" t="str">
        <f t="shared" si="33"/>
        <v>HIDE</v>
      </c>
      <c r="AK85" s="116" t="str">
        <f t="shared" si="33"/>
        <v>HIDE</v>
      </c>
      <c r="AL85" s="116" t="str">
        <f t="shared" si="33"/>
        <v>HIDE</v>
      </c>
      <c r="AM85" s="116" t="str">
        <f t="shared" si="33"/>
        <v>HIDE</v>
      </c>
      <c r="AN85" s="116" t="str">
        <f t="shared" si="33"/>
        <v>HIDE</v>
      </c>
      <c r="AO85" s="116" t="str">
        <f t="shared" si="33"/>
        <v/>
      </c>
      <c r="AP85" s="116" t="str">
        <f t="shared" si="33"/>
        <v>HIDE</v>
      </c>
      <c r="AQ85" s="116" t="str">
        <f t="shared" si="33"/>
        <v>HIDE</v>
      </c>
      <c r="AR85" s="116" t="str">
        <f t="shared" si="33"/>
        <v>HIDE</v>
      </c>
      <c r="AS85" s="116" t="str">
        <f t="shared" si="33"/>
        <v>HIDE</v>
      </c>
      <c r="AT85" s="116" t="str">
        <f t="shared" si="33"/>
        <v>HIDE</v>
      </c>
      <c r="AU85" s="116" t="str">
        <f t="shared" si="33"/>
        <v>HIDE</v>
      </c>
      <c r="AV85" s="116" t="str">
        <f t="shared" si="33"/>
        <v>HIDE</v>
      </c>
      <c r="AW85" s="116" t="str">
        <f t="shared" si="33"/>
        <v>HIDE</v>
      </c>
      <c r="AX85" s="116" t="str">
        <f t="shared" si="33"/>
        <v>HIDE</v>
      </c>
      <c r="AY85" s="116" t="str">
        <f t="shared" si="33"/>
        <v>HIDE</v>
      </c>
      <c r="AZ85" s="116" t="str">
        <f t="shared" si="33"/>
        <v>HIDE</v>
      </c>
      <c r="BA85" s="116" t="str">
        <f t="shared" si="33"/>
        <v/>
      </c>
      <c r="BB85" s="116" t="str">
        <f t="shared" si="33"/>
        <v>HIDE</v>
      </c>
      <c r="BC85" s="116" t="str">
        <f t="shared" si="33"/>
        <v>HIDE</v>
      </c>
      <c r="BD85" s="116" t="str">
        <f t="shared" si="33"/>
        <v>HIDE</v>
      </c>
      <c r="BE85" s="116" t="str">
        <f t="shared" si="33"/>
        <v>HIDE</v>
      </c>
      <c r="BF85" s="116" t="str">
        <f t="shared" si="33"/>
        <v>HIDE</v>
      </c>
      <c r="BG85" s="116" t="str">
        <f t="shared" si="33"/>
        <v>HIDE</v>
      </c>
      <c r="BH85" s="116" t="str">
        <f t="shared" si="33"/>
        <v>HIDE</v>
      </c>
      <c r="BI85" s="116" t="str">
        <f t="shared" si="33"/>
        <v>HIDE</v>
      </c>
      <c r="BJ85" s="116" t="str">
        <f t="shared" si="33"/>
        <v>HIDE</v>
      </c>
      <c r="BK85" s="116" t="str">
        <f t="shared" si="33"/>
        <v>HIDE</v>
      </c>
      <c r="BL85" s="116" t="str">
        <f t="shared" si="33"/>
        <v>HIDE</v>
      </c>
      <c r="BM85" s="116" t="str">
        <f t="shared" si="33"/>
        <v>HIDE</v>
      </c>
      <c r="BN85" s="116" t="str">
        <f t="shared" si="33"/>
        <v>HIDE</v>
      </c>
      <c r="BO85" s="116" t="str">
        <f t="shared" si="33"/>
        <v>HIDE</v>
      </c>
      <c r="BP85" s="116" t="str">
        <f t="shared" si="33"/>
        <v>HIDE</v>
      </c>
      <c r="BQ85" s="116"/>
    </row>
    <row r="86" spans="1:71" ht="14">
      <c r="A86" s="191" t="s">
        <v>94</v>
      </c>
      <c r="B86" s="116" t="s">
        <v>95</v>
      </c>
      <c r="P86" s="116"/>
    </row>
  </sheetData>
  <phoneticPr fontId="9" type="noConversion"/>
  <pageMargins left="0.35433070866141736" right="0.35433070866141736" top="0.27559055118110237" bottom="0.27559055118110237" header="0" footer="0.27559055118110237"/>
  <pageSetup paperSize="9" scale="105" orientation="landscape" verticalDpi="4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M91"/>
  <sheetViews>
    <sheetView showZeros="0" workbookViewId="0">
      <pane xSplit="1" topLeftCell="B1" activePane="topRight" state="frozen"/>
      <selection activeCell="R6" sqref="R6"/>
      <selection pane="topRight" activeCell="J1" sqref="J1:J1048576"/>
    </sheetView>
  </sheetViews>
  <sheetFormatPr defaultColWidth="16" defaultRowHeight="7"/>
  <cols>
    <col min="1" max="1" width="56.33203125" style="1" customWidth="1"/>
    <col min="2" max="8" width="11" style="1" customWidth="1"/>
    <col min="9" max="9" width="11.33203125" style="1" customWidth="1"/>
    <col min="10" max="10" width="67.5" style="1" customWidth="1"/>
    <col min="11" max="11" width="11" style="1" customWidth="1"/>
    <col min="12" max="16384" width="16" style="1"/>
  </cols>
  <sheetData>
    <row r="1" spans="1:169" ht="36" thickTop="1" thickBot="1">
      <c r="A1" s="188" t="str">
        <f>Summary!$A$2</f>
        <v>OLYMPIC 2024 FINAL ACCOUNTS</v>
      </c>
      <c r="J1" s="614" t="str">
        <f>Summary!$T$2</f>
        <v>25 January 2025</v>
      </c>
      <c r="L1" s="265">
        <f>SUM(L20:L32)</f>
        <v>0</v>
      </c>
    </row>
    <row r="2" spans="1:169" ht="23" thickTop="1">
      <c r="A2" s="672" t="s">
        <v>164</v>
      </c>
      <c r="B2" s="24"/>
      <c r="C2" s="24"/>
      <c r="D2" s="24"/>
      <c r="E2" s="24"/>
      <c r="F2" s="24"/>
      <c r="G2" s="24"/>
      <c r="H2" s="24"/>
      <c r="I2" s="24"/>
      <c r="J2" s="24"/>
    </row>
    <row r="3" spans="1:169" ht="22.5">
      <c r="A3" s="672" t="s">
        <v>177</v>
      </c>
      <c r="B3" s="24"/>
      <c r="C3" s="24"/>
      <c r="D3" s="24"/>
      <c r="E3" s="24"/>
      <c r="F3" s="24"/>
      <c r="G3" s="24"/>
      <c r="H3" s="24"/>
      <c r="I3" s="24"/>
      <c r="J3" s="24"/>
    </row>
    <row r="4" spans="1:169" ht="10.5" customHeight="1">
      <c r="A4" s="188"/>
      <c r="H4" s="189"/>
    </row>
    <row r="5" spans="1:169" ht="24" customHeight="1" thickBot="1">
      <c r="A5" s="128" t="str">
        <f>CONCATENATE(Summary!$B$1," INCOME - SUBSCRIPTIONS")</f>
        <v>2024 INCOME - SUBSCRIPTIONS</v>
      </c>
      <c r="B5" s="128"/>
    </row>
    <row r="6" spans="1:169" ht="8" thickTop="1" thickBot="1">
      <c r="A6" s="336"/>
      <c r="B6" s="420" t="s">
        <v>170</v>
      </c>
      <c r="C6" s="420" t="s">
        <v>103</v>
      </c>
      <c r="D6" s="420" t="s">
        <v>169</v>
      </c>
      <c r="E6" s="420" t="s">
        <v>102</v>
      </c>
      <c r="F6" s="420" t="s">
        <v>165</v>
      </c>
      <c r="G6" s="423" t="s">
        <v>204</v>
      </c>
      <c r="H6" s="420" t="s">
        <v>167</v>
      </c>
      <c r="I6" s="420" t="s">
        <v>168</v>
      </c>
      <c r="J6" s="263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</row>
    <row r="7" spans="1:169" s="58" customFormat="1" ht="7.5" thickTop="1">
      <c r="A7" s="335" t="s">
        <v>129</v>
      </c>
      <c r="B7" s="339">
        <v>45330</v>
      </c>
      <c r="C7" s="339">
        <v>45327</v>
      </c>
      <c r="D7" s="339">
        <v>45322</v>
      </c>
      <c r="E7" s="339"/>
      <c r="F7" s="339">
        <v>45327</v>
      </c>
      <c r="G7" s="339">
        <v>45413</v>
      </c>
      <c r="H7" s="339"/>
      <c r="I7" s="339">
        <v>45327</v>
      </c>
      <c r="J7" s="263"/>
    </row>
    <row r="8" spans="1:169" s="58" customFormat="1">
      <c r="A8" s="481" t="s">
        <v>149</v>
      </c>
      <c r="B8" s="332">
        <v>500</v>
      </c>
      <c r="C8" s="332">
        <v>500</v>
      </c>
      <c r="D8" s="332">
        <v>500</v>
      </c>
      <c r="E8" s="332">
        <v>500</v>
      </c>
      <c r="F8" s="332">
        <v>250</v>
      </c>
      <c r="G8" s="332">
        <v>500</v>
      </c>
      <c r="H8" s="332">
        <v>500</v>
      </c>
      <c r="I8" s="332">
        <v>500</v>
      </c>
      <c r="J8" s="482"/>
    </row>
    <row r="9" spans="1:169" s="58" customFormat="1">
      <c r="A9" s="411" t="s">
        <v>251</v>
      </c>
      <c r="B9" s="332">
        <v>350</v>
      </c>
      <c r="C9" s="332">
        <v>350</v>
      </c>
      <c r="D9" s="332">
        <v>350</v>
      </c>
      <c r="E9" s="332">
        <v>350</v>
      </c>
      <c r="F9" s="332">
        <v>175</v>
      </c>
      <c r="G9" s="332">
        <v>350</v>
      </c>
      <c r="H9" s="332">
        <v>350</v>
      </c>
      <c r="I9" s="332">
        <v>350</v>
      </c>
      <c r="J9" s="263"/>
    </row>
    <row r="10" spans="1:169" s="43" customFormat="1" ht="7.5" thickBot="1">
      <c r="A10" s="334" t="s">
        <v>148</v>
      </c>
      <c r="B10" s="480">
        <f t="shared" ref="B10:I10" si="0">SUM(B8:B9)</f>
        <v>850</v>
      </c>
      <c r="C10" s="480">
        <f t="shared" si="0"/>
        <v>850</v>
      </c>
      <c r="D10" s="480">
        <f t="shared" si="0"/>
        <v>850</v>
      </c>
      <c r="E10" s="480">
        <f t="shared" si="0"/>
        <v>850</v>
      </c>
      <c r="F10" s="480">
        <f t="shared" si="0"/>
        <v>425</v>
      </c>
      <c r="G10" s="480">
        <f t="shared" si="0"/>
        <v>850</v>
      </c>
      <c r="H10" s="480">
        <f t="shared" si="0"/>
        <v>850</v>
      </c>
      <c r="I10" s="480">
        <f t="shared" si="0"/>
        <v>850</v>
      </c>
      <c r="J10" s="400"/>
    </row>
    <row r="11" spans="1:169" s="178" customFormat="1" ht="8" thickTop="1" thickBot="1">
      <c r="A11" s="86" t="s">
        <v>131</v>
      </c>
      <c r="B11" s="310" t="s">
        <v>232</v>
      </c>
      <c r="C11" s="310" t="s">
        <v>232</v>
      </c>
      <c r="D11" s="310" t="s">
        <v>232</v>
      </c>
      <c r="E11" s="310" t="s">
        <v>232</v>
      </c>
      <c r="F11" s="310" t="s">
        <v>232</v>
      </c>
      <c r="G11" s="310" t="s">
        <v>232</v>
      </c>
      <c r="H11" s="310" t="s">
        <v>232</v>
      </c>
      <c r="I11" s="310" t="s">
        <v>232</v>
      </c>
      <c r="J11" s="257"/>
      <c r="M11" s="43"/>
    </row>
    <row r="12" spans="1:169" s="235" customFormat="1" ht="7.5" hidden="1" thickTop="1">
      <c r="B12" s="246">
        <f t="shared" ref="B12:J12" si="1">IF(B11="post bal.",B10,0)</f>
        <v>0</v>
      </c>
      <c r="C12" s="246">
        <f t="shared" si="1"/>
        <v>0</v>
      </c>
      <c r="D12" s="246">
        <f t="shared" si="1"/>
        <v>0</v>
      </c>
      <c r="E12" s="246">
        <f t="shared" si="1"/>
        <v>0</v>
      </c>
      <c r="F12" s="246">
        <f>IF(F11="post bal.",F10,0)</f>
        <v>0</v>
      </c>
      <c r="G12" s="246">
        <f t="shared" si="1"/>
        <v>0</v>
      </c>
      <c r="H12" s="246">
        <f t="shared" si="1"/>
        <v>0</v>
      </c>
      <c r="I12" s="246">
        <f t="shared" si="1"/>
        <v>0</v>
      </c>
      <c r="J12" s="246">
        <f t="shared" si="1"/>
        <v>0</v>
      </c>
    </row>
    <row r="13" spans="1:169" ht="8" thickTop="1" thickBot="1">
      <c r="B13" s="1" t="str">
        <f t="shared" ref="B13:I13" si="2">IF(B12=0,"","post bal.")</f>
        <v/>
      </c>
      <c r="C13" s="1" t="str">
        <f t="shared" si="2"/>
        <v/>
      </c>
      <c r="D13" s="1" t="str">
        <f t="shared" si="2"/>
        <v/>
      </c>
      <c r="E13" s="1" t="str">
        <f t="shared" si="2"/>
        <v/>
      </c>
      <c r="F13" s="1" t="str">
        <f t="shared" si="2"/>
        <v/>
      </c>
      <c r="G13" s="10" t="str">
        <f t="shared" si="2"/>
        <v/>
      </c>
      <c r="H13" s="10" t="str">
        <f t="shared" si="2"/>
        <v/>
      </c>
      <c r="I13" s="10" t="str">
        <f t="shared" si="2"/>
        <v/>
      </c>
      <c r="J13" s="10"/>
      <c r="K13" s="10"/>
    </row>
    <row r="14" spans="1:169" ht="8" thickTop="1" thickBot="1">
      <c r="A14" s="336"/>
      <c r="B14" s="420" t="s">
        <v>166</v>
      </c>
      <c r="C14" s="423" t="s">
        <v>200</v>
      </c>
      <c r="D14" s="420"/>
      <c r="E14" s="420"/>
      <c r="F14" s="423"/>
      <c r="G14" s="419"/>
      <c r="H14" s="420"/>
      <c r="I14" s="424"/>
      <c r="J14" s="10"/>
      <c r="K14" s="12" t="s">
        <v>65</v>
      </c>
    </row>
    <row r="15" spans="1:169" ht="7.5" thickTop="1">
      <c r="A15" s="335" t="s">
        <v>129</v>
      </c>
      <c r="B15" s="339">
        <v>45341</v>
      </c>
      <c r="C15" s="339">
        <v>45320</v>
      </c>
      <c r="D15" s="421"/>
      <c r="E15" s="421"/>
      <c r="F15" s="421"/>
      <c r="G15" s="421"/>
      <c r="H15" s="421"/>
      <c r="I15" s="422"/>
      <c r="J15" s="10"/>
      <c r="K15" s="244" t="s">
        <v>14</v>
      </c>
    </row>
    <row r="16" spans="1:169">
      <c r="A16" s="334" t="s">
        <v>149</v>
      </c>
      <c r="B16" s="332">
        <v>250</v>
      </c>
      <c r="C16" s="332">
        <v>500</v>
      </c>
      <c r="D16" s="332"/>
      <c r="E16" s="332"/>
      <c r="F16" s="332"/>
      <c r="G16" s="332"/>
      <c r="H16" s="332"/>
      <c r="I16" s="418"/>
      <c r="J16" s="10"/>
      <c r="K16" s="52">
        <f>SUM(B8:J8,B16:J16)</f>
        <v>4500</v>
      </c>
    </row>
    <row r="17" spans="1:107" ht="7.5" thickBot="1">
      <c r="A17" s="411" t="s">
        <v>251</v>
      </c>
      <c r="B17" s="332">
        <v>175</v>
      </c>
      <c r="C17" s="332">
        <v>350</v>
      </c>
      <c r="D17" s="332"/>
      <c r="E17" s="332"/>
      <c r="F17" s="332"/>
      <c r="G17" s="332"/>
      <c r="H17" s="332"/>
      <c r="I17" s="418"/>
      <c r="J17" s="10"/>
      <c r="K17" s="412">
        <f>SUM(B9:J9,B17:J17)</f>
        <v>3150</v>
      </c>
    </row>
    <row r="18" spans="1:107" ht="8" thickTop="1" thickBot="1">
      <c r="A18" s="334" t="s">
        <v>148</v>
      </c>
      <c r="B18" s="609">
        <f>SUM(B16:B16)</f>
        <v>250</v>
      </c>
      <c r="C18" s="609">
        <f t="shared" ref="C18:I18" si="3">SUM(C16:C17)</f>
        <v>850</v>
      </c>
      <c r="D18" s="609"/>
      <c r="E18" s="609">
        <f t="shared" si="3"/>
        <v>0</v>
      </c>
      <c r="F18" s="609">
        <f t="shared" si="3"/>
        <v>0</v>
      </c>
      <c r="G18" s="609">
        <f t="shared" si="3"/>
        <v>0</v>
      </c>
      <c r="H18" s="609">
        <f t="shared" si="3"/>
        <v>0</v>
      </c>
      <c r="I18" s="610">
        <f t="shared" si="3"/>
        <v>0</v>
      </c>
      <c r="J18" s="10"/>
      <c r="K18" s="245">
        <f>SUM(B10:J10,B18:J18)</f>
        <v>7475</v>
      </c>
    </row>
    <row r="19" spans="1:107" ht="8" thickTop="1" thickBot="1">
      <c r="A19" s="86" t="s">
        <v>131</v>
      </c>
      <c r="B19" s="310" t="s">
        <v>232</v>
      </c>
      <c r="C19" s="310" t="s">
        <v>232</v>
      </c>
      <c r="D19" s="310"/>
      <c r="E19" s="310" t="str">
        <f>IF(E18=0,"","post bal.")</f>
        <v/>
      </c>
      <c r="F19" s="310" t="str">
        <f>IF(F18=0,"","post bal.")</f>
        <v/>
      </c>
      <c r="G19" s="310" t="str">
        <f>IF(G18=0,"","post bal.")</f>
        <v/>
      </c>
      <c r="H19" s="310" t="str">
        <f>IF(H18=0,"","post bal.")</f>
        <v/>
      </c>
      <c r="I19" s="310" t="str">
        <f>IF(I18=0,"","post bal.")</f>
        <v/>
      </c>
      <c r="J19" s="10"/>
      <c r="K19" s="206"/>
    </row>
    <row r="20" spans="1:107" s="657" customFormat="1" ht="8" hidden="1" thickTop="1" thickBot="1">
      <c r="B20" s="658">
        <f t="shared" ref="B20:J20" si="4">IF(B19="post bal.",B18,0)</f>
        <v>0</v>
      </c>
      <c r="C20" s="658">
        <f t="shared" si="4"/>
        <v>0</v>
      </c>
      <c r="D20" s="658">
        <f>IF(D19="post bal.",D18,0)</f>
        <v>0</v>
      </c>
      <c r="E20" s="658">
        <f t="shared" si="4"/>
        <v>0</v>
      </c>
      <c r="F20" s="658">
        <f t="shared" si="4"/>
        <v>0</v>
      </c>
      <c r="G20" s="658">
        <f t="shared" si="4"/>
        <v>0</v>
      </c>
      <c r="H20" s="658">
        <f t="shared" si="4"/>
        <v>0</v>
      </c>
      <c r="I20" s="658">
        <f t="shared" si="4"/>
        <v>0</v>
      </c>
      <c r="J20" s="658">
        <f t="shared" si="4"/>
        <v>0</v>
      </c>
      <c r="K20" s="659">
        <f>SUM(B12:J12,B20:J20)</f>
        <v>0</v>
      </c>
    </row>
    <row r="21" spans="1:107" ht="7.5" thickTop="1"/>
    <row r="22" spans="1:107" ht="22.5" hidden="1">
      <c r="A22" s="615" t="str">
        <f>CONCATENATE("PROVISIONS FROM/TO ", Summary!$B$1-1,"TO BE PAID/RECEIVED IN ", Summary!$B$1)</f>
        <v>PROVISIONS FROM/TO 2023TO BE PAID/RECEIVED IN 2024</v>
      </c>
      <c r="B22" s="24"/>
      <c r="C22" s="24"/>
      <c r="D22" s="33"/>
      <c r="E22" s="24"/>
      <c r="F22" s="24"/>
      <c r="G22" s="24"/>
      <c r="H22" s="24"/>
      <c r="I22" s="24"/>
      <c r="J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</row>
    <row r="23" spans="1:107" hidden="1"/>
    <row r="24" spans="1:107" hidden="1"/>
    <row r="25" spans="1:107" ht="11" hidden="1" thickBot="1">
      <c r="A25" s="809" t="str">
        <f>CONCATENATE("PAYMENTS COMMITTED &amp; NOT PAID IN ",Summary!$B$1-1,", PROVISIONED (FUNDS CARRIED FORWARD) TO BE PAID IN ",Summary!$B$1 )</f>
        <v>PAYMENTS COMMITTED &amp; NOT PAID IN 2023, PROVISIONED (FUNDS CARRIED FORWARD) TO BE PAID IN 2024</v>
      </c>
      <c r="B25" s="810" t="str">
        <f>CONCATENATE(" PAYMENTS COMMITTED BUT NOT INVOICED IN ",Summary!$B$1-1,", PROVISIONED (MONEY RECEIVED) FROM ",Summary!$B$1-1," TO BE PAID IN ",Summary!$B$1 )</f>
        <v xml:space="preserve"> PAYMENTS COMMITTED BUT NOT INVOICED IN 2023, PROVISIONED (MONEY RECEIVED) FROM 2023 TO BE PAID IN 2024</v>
      </c>
      <c r="C25" s="810" t="str">
        <f>CONCATENATE(" PAYMENTS COMMITTED BUT NOT INVOICED IN ",Summary!$B$1-1,", PROVISIONED (MONEY RECEIVED) FROM ",Summary!$B$1-1," TO BE PAID IN ",Summary!$B$1 )</f>
        <v xml:space="preserve"> PAYMENTS COMMITTED BUT NOT INVOICED IN 2023, PROVISIONED (MONEY RECEIVED) FROM 2023 TO BE PAID IN 2024</v>
      </c>
      <c r="D25" s="810" t="str">
        <f>CONCATENATE(" PAYMENTS COMMITTED BUT NOT INVOICED IN ",Summary!$B$1-1,", PROVISIONED (MONEY RECEIVED) FROM ",Summary!$B$1-1," TO BE PAID IN ",Summary!$B$1 )</f>
        <v xml:space="preserve"> PAYMENTS COMMITTED BUT NOT INVOICED IN 2023, PROVISIONED (MONEY RECEIVED) FROM 2023 TO BE PAID IN 2024</v>
      </c>
      <c r="E25" s="810"/>
      <c r="F25" s="810"/>
      <c r="G25" s="810"/>
      <c r="H25" s="810"/>
      <c r="I25" s="810"/>
    </row>
    <row r="26" spans="1:107" s="68" customFormat="1" ht="7.5" hidden="1" thickTop="1">
      <c r="A26" s="340" t="s">
        <v>130</v>
      </c>
      <c r="B26" s="441"/>
      <c r="C26" s="441"/>
      <c r="D26" s="344"/>
      <c r="E26" s="344"/>
      <c r="F26" s="417"/>
      <c r="G26" s="719" t="s">
        <v>191</v>
      </c>
      <c r="H26" s="156" t="s">
        <v>82</v>
      </c>
      <c r="I26" s="120" t="s">
        <v>163</v>
      </c>
    </row>
    <row r="27" spans="1:107" s="68" customFormat="1" ht="7.5" hidden="1" thickBot="1">
      <c r="A27" s="345" t="s">
        <v>129</v>
      </c>
      <c r="B27" s="346"/>
      <c r="C27" s="362"/>
      <c r="D27" s="346"/>
      <c r="E27" s="346"/>
      <c r="F27" s="347"/>
      <c r="G27" s="652" t="s">
        <v>163</v>
      </c>
      <c r="H27" s="157" t="s">
        <v>163</v>
      </c>
      <c r="I27" s="721" t="s">
        <v>192</v>
      </c>
    </row>
    <row r="28" spans="1:107" s="68" customFormat="1" ht="7.5" hidden="1" thickTop="1">
      <c r="A28" s="484"/>
      <c r="B28" s="348"/>
      <c r="C28" s="361"/>
      <c r="D28" s="348"/>
      <c r="E28" s="348"/>
      <c r="F28" s="348"/>
      <c r="G28" s="349">
        <f>SUM(B28:F28)</f>
        <v>0</v>
      </c>
      <c r="H28" s="360"/>
      <c r="I28" s="350">
        <f>H28-SUM(B28:F28)</f>
        <v>0</v>
      </c>
    </row>
    <row r="29" spans="1:107" s="68" customFormat="1" hidden="1">
      <c r="A29" s="416"/>
      <c r="B29" s="325"/>
      <c r="C29" s="325"/>
      <c r="D29" s="325"/>
      <c r="E29" s="325"/>
      <c r="F29" s="325"/>
      <c r="G29" s="351">
        <f>SUM(B29:F29)</f>
        <v>0</v>
      </c>
      <c r="H29" s="351"/>
      <c r="I29" s="353">
        <f>H29-SUM(B29:F29)</f>
        <v>0</v>
      </c>
    </row>
    <row r="30" spans="1:107" s="68" customFormat="1" hidden="1">
      <c r="A30" s="354"/>
      <c r="B30" s="325"/>
      <c r="C30" s="325"/>
      <c r="D30" s="325"/>
      <c r="E30" s="325"/>
      <c r="F30" s="325"/>
      <c r="G30" s="351">
        <f>SUM(B30:F30)</f>
        <v>0</v>
      </c>
      <c r="H30" s="352"/>
      <c r="I30" s="353">
        <f>H30-SUM(B30:F30)</f>
        <v>0</v>
      </c>
    </row>
    <row r="31" spans="1:107" s="68" customFormat="1" hidden="1">
      <c r="A31" s="416"/>
      <c r="B31" s="325"/>
      <c r="C31" s="325"/>
      <c r="D31" s="325"/>
      <c r="E31" s="325"/>
      <c r="F31" s="325"/>
      <c r="G31" s="351">
        <f>SUM(B31:F31)</f>
        <v>0</v>
      </c>
      <c r="H31" s="352"/>
      <c r="I31" s="353">
        <f>H31-SUM(B31:F31)</f>
        <v>0</v>
      </c>
    </row>
    <row r="32" spans="1:107" s="178" customFormat="1" hidden="1">
      <c r="A32" s="355"/>
      <c r="B32" s="356"/>
      <c r="C32" s="356"/>
      <c r="D32" s="356"/>
      <c r="E32" s="356"/>
      <c r="F32" s="356"/>
      <c r="G32" s="357">
        <f>SUM(B32:F32)</f>
        <v>0</v>
      </c>
      <c r="H32" s="358"/>
      <c r="I32" s="359">
        <f>H32-SUM(B32:F32)</f>
        <v>0</v>
      </c>
      <c r="L32" s="68"/>
    </row>
    <row r="33" spans="1:12" s="646" customFormat="1" ht="11" hidden="1" thickBot="1">
      <c r="A33" s="641" t="s">
        <v>172</v>
      </c>
      <c r="B33" s="642">
        <f t="shared" ref="B33:I33" si="5">SUM(B28:B32)</f>
        <v>0</v>
      </c>
      <c r="C33" s="642">
        <f t="shared" si="5"/>
        <v>0</v>
      </c>
      <c r="D33" s="642">
        <f t="shared" si="5"/>
        <v>0</v>
      </c>
      <c r="E33" s="642">
        <f t="shared" si="5"/>
        <v>0</v>
      </c>
      <c r="F33" s="642">
        <f t="shared" si="5"/>
        <v>0</v>
      </c>
      <c r="G33" s="643">
        <f t="shared" si="5"/>
        <v>0</v>
      </c>
      <c r="H33" s="644">
        <f t="shared" si="5"/>
        <v>0</v>
      </c>
      <c r="I33" s="645">
        <f t="shared" si="5"/>
        <v>0</v>
      </c>
    </row>
    <row r="34" spans="1:12" ht="8" hidden="1" thickTop="1" thickBot="1">
      <c r="A34" s="633" t="s">
        <v>160</v>
      </c>
      <c r="B34" s="310" t="str">
        <f>IF(B33=0,"","post bal.")</f>
        <v/>
      </c>
      <c r="C34" s="310" t="str">
        <f>IF(C33=0,"","post bal.")</f>
        <v/>
      </c>
      <c r="D34" s="310" t="str">
        <f>IF(D33=0,"","post bal.")</f>
        <v/>
      </c>
      <c r="E34" s="310" t="str">
        <f>IF(E33=0,"","post bal.")</f>
        <v/>
      </c>
      <c r="F34" s="310" t="str">
        <f>IF(F33=0,"","post bal.")</f>
        <v/>
      </c>
      <c r="G34" s="184"/>
      <c r="H34" s="206"/>
      <c r="I34" s="206"/>
    </row>
    <row r="35" spans="1:12" s="165" customFormat="1" ht="7.5" hidden="1" thickTop="1">
      <c r="B35" s="656">
        <f>IF(B34="post bal.",B33,0)</f>
        <v>0</v>
      </c>
      <c r="C35" s="165">
        <f>IF(C34="posrbal",C33,0)</f>
        <v>0</v>
      </c>
      <c r="D35" s="165">
        <f>IF(D34="posrbal",D33,0)</f>
        <v>0</v>
      </c>
      <c r="E35" s="165">
        <f>IF(E34="posrbal",E33,0)</f>
        <v>0</v>
      </c>
      <c r="F35" s="165">
        <f>IF(F34="posrbal",F33,0)</f>
        <v>0</v>
      </c>
      <c r="K35" s="165">
        <f>SUM(B35:F35)</f>
        <v>0</v>
      </c>
    </row>
    <row r="36" spans="1:12" hidden="1"/>
    <row r="37" spans="1:12" ht="11" hidden="1" thickBot="1">
      <c r="A37" s="809" t="str">
        <f>CONCATENATE(" INCOME COMMITTED &amp; OVER-DUE IN ",Summary!$B$1-1,", PROVISIONED (SUM DUE CARRIED FORWARD) TO CLEAR IN ",Summary!$B$1)</f>
        <v xml:space="preserve"> INCOME COMMITTED &amp; OVER-DUE IN 2023, PROVISIONED (SUM DUE CARRIED FORWARD) TO CLEAR IN 2024</v>
      </c>
      <c r="B37" s="810" t="str">
        <f>CONCATENATE(" INCOME COMMITTED &amp; OVER-DUE IN ",Summary!$B$1-1,", PROVISIONED (RECEIVED) FROM ",Summary!$B$1-1," TO PAY IN ",Summary!$B$1)</f>
        <v xml:space="preserve"> INCOME COMMITTED &amp; OVER-DUE IN 2023, PROVISIONED (RECEIVED) FROM 2023 TO PAY IN 2024</v>
      </c>
      <c r="C37" s="810" t="str">
        <f>CONCATENATE(" INCOME COMMITTED &amp; OVER-DUE IN ",Summary!$B$1-1,", PROVISIONED (RECEIVED) FROM ",Summary!$B$1-1," TO PAY IN ",Summary!$B$1)</f>
        <v xml:space="preserve"> INCOME COMMITTED &amp; OVER-DUE IN 2023, PROVISIONED (RECEIVED) FROM 2023 TO PAY IN 2024</v>
      </c>
      <c r="D37" s="810" t="str">
        <f>CONCATENATE(" INCOME COMMITTED &amp; OVER-DUE IN ",Summary!$B$1-1,", PROVISIONED (RECEIVED) FROM ",Summary!$B$1-1," TO PAY IN ",Summary!$B$1)</f>
        <v xml:space="preserve"> INCOME COMMITTED &amp; OVER-DUE IN 2023, PROVISIONED (RECEIVED) FROM 2023 TO PAY IN 2024</v>
      </c>
      <c r="E37" s="810"/>
      <c r="F37" s="810"/>
      <c r="G37" s="810"/>
      <c r="H37" s="810"/>
      <c r="I37" s="810"/>
    </row>
    <row r="38" spans="1:12" s="68" customFormat="1" ht="7.5" hidden="1" thickTop="1">
      <c r="A38" s="340" t="s">
        <v>130</v>
      </c>
      <c r="B38" s="441"/>
      <c r="C38" s="441"/>
      <c r="D38" s="344"/>
      <c r="E38" s="344"/>
      <c r="F38" s="417"/>
      <c r="G38" s="719" t="s">
        <v>191</v>
      </c>
      <c r="H38" s="720" t="s">
        <v>82</v>
      </c>
      <c r="I38" s="700" t="s">
        <v>190</v>
      </c>
    </row>
    <row r="39" spans="1:12" s="68" customFormat="1" ht="7.5" hidden="1" thickBot="1">
      <c r="A39" s="345" t="s">
        <v>129</v>
      </c>
      <c r="B39" s="346"/>
      <c r="C39" s="362"/>
      <c r="D39" s="346"/>
      <c r="E39" s="346"/>
      <c r="F39" s="347"/>
      <c r="G39" s="652" t="s">
        <v>193</v>
      </c>
      <c r="H39" s="699" t="s">
        <v>190</v>
      </c>
      <c r="I39" s="721" t="s">
        <v>192</v>
      </c>
    </row>
    <row r="40" spans="1:12" s="68" customFormat="1" ht="7.5" hidden="1" thickTop="1">
      <c r="A40" s="484"/>
      <c r="B40" s="740"/>
      <c r="C40" s="361"/>
      <c r="D40" s="348"/>
      <c r="E40" s="348"/>
      <c r="F40" s="348"/>
      <c r="G40" s="349"/>
      <c r="H40" s="360"/>
      <c r="I40" s="350">
        <f>H40-SUM(B40:F40)</f>
        <v>0</v>
      </c>
    </row>
    <row r="41" spans="1:12" s="68" customFormat="1" hidden="1">
      <c r="A41" s="416"/>
      <c r="B41" s="741"/>
      <c r="C41" s="325"/>
      <c r="D41" s="325"/>
      <c r="E41" s="325"/>
      <c r="F41" s="325"/>
      <c r="G41" s="351">
        <f>SUM(B41:F41)</f>
        <v>0</v>
      </c>
      <c r="H41" s="352"/>
      <c r="I41" s="353">
        <f>H41-SUM(B41:F41)</f>
        <v>0</v>
      </c>
    </row>
    <row r="42" spans="1:12" s="68" customFormat="1" hidden="1">
      <c r="A42" s="354"/>
      <c r="B42" s="325"/>
      <c r="C42" s="325"/>
      <c r="D42" s="325"/>
      <c r="E42" s="325"/>
      <c r="F42" s="325"/>
      <c r="G42" s="351">
        <f>SUM(B42:F42)</f>
        <v>0</v>
      </c>
      <c r="H42" s="352"/>
      <c r="I42" s="353">
        <f>H42-SUM(B42:F42)</f>
        <v>0</v>
      </c>
    </row>
    <row r="43" spans="1:12" s="68" customFormat="1" hidden="1">
      <c r="A43" s="416"/>
      <c r="B43" s="325"/>
      <c r="C43" s="325"/>
      <c r="D43" s="325"/>
      <c r="E43" s="325"/>
      <c r="F43" s="325"/>
      <c r="G43" s="351">
        <f>SUM(B43:F43)</f>
        <v>0</v>
      </c>
      <c r="H43" s="352"/>
      <c r="I43" s="353">
        <f>H43-SUM(B43:F43)</f>
        <v>0</v>
      </c>
    </row>
    <row r="44" spans="1:12" s="178" customFormat="1" hidden="1">
      <c r="A44" s="355"/>
      <c r="B44" s="356"/>
      <c r="C44" s="356"/>
      <c r="D44" s="356"/>
      <c r="E44" s="356"/>
      <c r="F44" s="356"/>
      <c r="G44" s="357">
        <f>SUM(B44:F44)</f>
        <v>0</v>
      </c>
      <c r="H44" s="358"/>
      <c r="I44" s="359">
        <f>H44-SUM(B44:F44)</f>
        <v>0</v>
      </c>
      <c r="L44" s="68"/>
    </row>
    <row r="45" spans="1:12" s="646" customFormat="1" ht="11" hidden="1" thickBot="1">
      <c r="A45" s="641" t="s">
        <v>80</v>
      </c>
      <c r="B45" s="642">
        <f t="shared" ref="B45:I45" si="6">SUM(B40:B44)</f>
        <v>0</v>
      </c>
      <c r="C45" s="642">
        <f t="shared" si="6"/>
        <v>0</v>
      </c>
      <c r="D45" s="642">
        <f t="shared" si="6"/>
        <v>0</v>
      </c>
      <c r="E45" s="642">
        <f t="shared" si="6"/>
        <v>0</v>
      </c>
      <c r="F45" s="642">
        <f t="shared" si="6"/>
        <v>0</v>
      </c>
      <c r="G45" s="643">
        <f t="shared" si="6"/>
        <v>0</v>
      </c>
      <c r="H45" s="644">
        <f t="shared" si="6"/>
        <v>0</v>
      </c>
      <c r="I45" s="645">
        <f t="shared" si="6"/>
        <v>0</v>
      </c>
    </row>
    <row r="46" spans="1:12" ht="8" hidden="1" thickTop="1" thickBot="1">
      <c r="A46" s="633" t="s">
        <v>160</v>
      </c>
      <c r="B46" s="310" t="str">
        <f>IF(B45=0,"","post bal.")</f>
        <v/>
      </c>
      <c r="C46" s="310" t="str">
        <f>IF(C45=0,"","post bal.")</f>
        <v/>
      </c>
      <c r="D46" s="310" t="str">
        <f>IF(D45=0,"","post bal.")</f>
        <v/>
      </c>
      <c r="E46" s="310" t="str">
        <f>IF(E45=0,"","post bal.")</f>
        <v/>
      </c>
      <c r="F46" s="310" t="str">
        <f>IF(F45=0,"","post bal.")</f>
        <v/>
      </c>
      <c r="G46" s="184"/>
      <c r="H46" s="206"/>
      <c r="I46" s="206"/>
    </row>
    <row r="47" spans="1:12" s="165" customFormat="1">
      <c r="B47" s="656"/>
    </row>
    <row r="48" spans="1:12" s="165" customFormat="1" ht="22.5">
      <c r="A48" s="615" t="str">
        <f>CONCATENATE("PROVISIONS INTO/FROM ", Summary!$B$1+1, " NOT AFFECTING BANKING IN ",Summary!$B$1)</f>
        <v>PROVISIONS INTO/FROM 2025 NOT AFFECTING BANKING IN 2024</v>
      </c>
      <c r="B48" s="24"/>
      <c r="C48" s="24"/>
      <c r="D48" s="33"/>
      <c r="E48" s="24"/>
      <c r="F48" s="24"/>
      <c r="G48" s="24"/>
      <c r="H48" s="24"/>
    </row>
    <row r="49" spans="1:9" s="165" customFormat="1">
      <c r="B49" s="656"/>
    </row>
    <row r="50" spans="1:9" ht="11" thickBot="1">
      <c r="A50" s="809" t="str">
        <f>CONCATENATE(" INCOME COMMITTED BUT NOT RECEIVED IN ",Summary!$B$1,", PROVISIONED (RECEIVED) FROM ",Summary!$B$1+1)</f>
        <v xml:space="preserve"> INCOME COMMITTED BUT NOT RECEIVED IN 2024, PROVISIONED (RECEIVED) FROM 2025</v>
      </c>
      <c r="B50" s="810"/>
      <c r="C50" s="810"/>
      <c r="D50" s="810"/>
      <c r="E50" s="810"/>
      <c r="F50" s="810"/>
      <c r="G50" s="810"/>
      <c r="H50" s="811"/>
      <c r="I50" s="811"/>
    </row>
    <row r="51" spans="1:9" ht="7.5" thickTop="1">
      <c r="A51" s="340" t="s">
        <v>130</v>
      </c>
      <c r="B51" s="441"/>
      <c r="C51" s="378" t="str">
        <f>IF(C50=0,"","post bal.")</f>
        <v/>
      </c>
      <c r="D51" s="379"/>
      <c r="E51" s="344"/>
      <c r="F51" s="417"/>
      <c r="G51" s="20" t="s">
        <v>82</v>
      </c>
      <c r="H51" s="9"/>
      <c r="I51" s="58"/>
    </row>
    <row r="52" spans="1:9" s="14" customFormat="1" ht="7.5" thickBot="1">
      <c r="A52" s="341" t="s">
        <v>129</v>
      </c>
      <c r="B52" s="346"/>
      <c r="C52" s="362"/>
      <c r="D52" s="362"/>
      <c r="E52" s="362"/>
      <c r="F52" s="380"/>
      <c r="G52" s="701" t="s">
        <v>190</v>
      </c>
      <c r="H52" s="15"/>
      <c r="I52" s="137"/>
    </row>
    <row r="53" spans="1:9" s="68" customFormat="1" ht="7.5" thickTop="1">
      <c r="A53" s="484" t="s">
        <v>261</v>
      </c>
      <c r="B53" s="648">
        <v>900</v>
      </c>
      <c r="C53" s="321"/>
      <c r="D53" s="321"/>
      <c r="E53" s="321"/>
      <c r="F53" s="381"/>
      <c r="G53" s="702">
        <f t="shared" ref="G53:G58" si="7">SUM(B53:F53)</f>
        <v>900</v>
      </c>
      <c r="H53" s="106"/>
    </row>
    <row r="54" spans="1:9" s="68" customFormat="1" ht="7.5" thickBot="1">
      <c r="A54" s="343"/>
      <c r="B54" s="649"/>
      <c r="C54" s="361"/>
      <c r="D54" s="361"/>
      <c r="E54" s="361"/>
      <c r="F54" s="382"/>
      <c r="G54" s="703">
        <f t="shared" si="7"/>
        <v>0</v>
      </c>
      <c r="H54" s="106"/>
    </row>
    <row r="55" spans="1:9" s="68" customFormat="1" hidden="1">
      <c r="A55" s="343"/>
      <c r="B55" s="649"/>
      <c r="C55" s="361"/>
      <c r="D55" s="361"/>
      <c r="E55" s="361"/>
      <c r="F55" s="382"/>
      <c r="G55" s="703">
        <f t="shared" si="7"/>
        <v>0</v>
      </c>
      <c r="H55" s="106"/>
    </row>
    <row r="56" spans="1:9" s="68" customFormat="1" hidden="1">
      <c r="A56" s="416"/>
      <c r="B56" s="649"/>
      <c r="C56" s="361"/>
      <c r="D56" s="361"/>
      <c r="E56" s="361"/>
      <c r="F56" s="382"/>
      <c r="G56" s="703">
        <f t="shared" si="7"/>
        <v>0</v>
      </c>
      <c r="H56" s="106"/>
    </row>
    <row r="57" spans="1:9" s="68" customFormat="1" hidden="1">
      <c r="A57" s="416"/>
      <c r="B57" s="650"/>
      <c r="C57" s="325"/>
      <c r="D57" s="325"/>
      <c r="E57" s="325"/>
      <c r="F57" s="383"/>
      <c r="G57" s="703">
        <f t="shared" si="7"/>
        <v>0</v>
      </c>
      <c r="H57" s="106"/>
    </row>
    <row r="58" spans="1:9" s="68" customFormat="1" ht="7.5" hidden="1" thickBot="1">
      <c r="A58" s="342"/>
      <c r="B58" s="651"/>
      <c r="C58" s="384"/>
      <c r="D58" s="384"/>
      <c r="E58" s="384"/>
      <c r="F58" s="385"/>
      <c r="G58" s="704">
        <f t="shared" si="7"/>
        <v>0</v>
      </c>
      <c r="H58" s="106"/>
    </row>
    <row r="59" spans="1:9" s="68" customFormat="1" ht="11.5" thickTop="1" thickBot="1">
      <c r="A59" s="337" t="s">
        <v>80</v>
      </c>
      <c r="B59" s="149">
        <f t="shared" ref="B59:G59" si="8">SUM(B53:B58)</f>
        <v>900</v>
      </c>
      <c r="C59" s="149">
        <f t="shared" si="8"/>
        <v>0</v>
      </c>
      <c r="D59" s="149">
        <f t="shared" si="8"/>
        <v>0</v>
      </c>
      <c r="E59" s="149">
        <f t="shared" si="8"/>
        <v>0</v>
      </c>
      <c r="F59" s="706">
        <f t="shared" si="8"/>
        <v>0</v>
      </c>
      <c r="G59" s="705">
        <f t="shared" si="8"/>
        <v>900</v>
      </c>
      <c r="H59" s="106"/>
    </row>
    <row r="60" spans="1:9" ht="7.5" thickTop="1"/>
    <row r="61" spans="1:9" ht="11" hidden="1" thickBot="1">
      <c r="A61" s="809" t="str">
        <f>CONCATENATE(" INCOME RECEIVED IN ",Summary!$B$1," EARLY, PROVISIONED (PAID) INTO ",Summary!$B$1+1)</f>
        <v xml:space="preserve"> INCOME RECEIVED IN 2024 EARLY, PROVISIONED (PAID) INTO 2025</v>
      </c>
      <c r="B61" s="810"/>
      <c r="C61" s="810"/>
      <c r="D61" s="810"/>
      <c r="E61" s="2"/>
      <c r="F61" s="2"/>
      <c r="G61" s="2"/>
    </row>
    <row r="62" spans="1:9" ht="7.5" hidden="1" thickTop="1">
      <c r="A62" s="340" t="s">
        <v>130</v>
      </c>
      <c r="B62" s="441"/>
      <c r="C62" s="441"/>
      <c r="D62" s="344"/>
      <c r="E62" s="344"/>
      <c r="F62" s="417"/>
      <c r="G62" s="717" t="s">
        <v>82</v>
      </c>
      <c r="I62" s="14"/>
    </row>
    <row r="63" spans="1:9" ht="7.5" hidden="1" thickBot="1">
      <c r="A63" s="345" t="s">
        <v>129</v>
      </c>
      <c r="B63" s="346"/>
      <c r="C63" s="362"/>
      <c r="D63" s="346"/>
      <c r="E63" s="346"/>
      <c r="F63" s="347"/>
      <c r="G63" s="126" t="s">
        <v>163</v>
      </c>
      <c r="I63" s="14">
        <f>I$52</f>
        <v>0</v>
      </c>
    </row>
    <row r="64" spans="1:9" ht="7.5" hidden="1" thickTop="1">
      <c r="A64" s="484"/>
      <c r="B64" s="348"/>
      <c r="C64" s="361"/>
      <c r="D64" s="348"/>
      <c r="E64" s="348"/>
      <c r="F64" s="381"/>
      <c r="G64" s="707">
        <f t="shared" ref="G64:G69" si="9">SUM(B64:F64)</f>
        <v>0</v>
      </c>
      <c r="I64" s="68">
        <f>G64-SUM(B64:F64)</f>
        <v>0</v>
      </c>
    </row>
    <row r="65" spans="1:16" ht="7.5" hidden="1" thickBot="1">
      <c r="A65" s="416"/>
      <c r="B65" s="325"/>
      <c r="C65" s="325"/>
      <c r="D65" s="325"/>
      <c r="E65" s="325"/>
      <c r="F65" s="383"/>
      <c r="G65" s="708">
        <f t="shared" si="9"/>
        <v>0</v>
      </c>
      <c r="I65" s="68">
        <f>G65-SUM(B65:F65)</f>
        <v>0</v>
      </c>
    </row>
    <row r="66" spans="1:16" hidden="1">
      <c r="A66" s="354"/>
      <c r="B66" s="325"/>
      <c r="C66" s="325"/>
      <c r="D66" s="325"/>
      <c r="E66" s="325"/>
      <c r="F66" s="383"/>
      <c r="G66" s="708">
        <f t="shared" si="9"/>
        <v>0</v>
      </c>
      <c r="I66" s="68">
        <f>G66-SUM(B66:F66)</f>
        <v>0</v>
      </c>
    </row>
    <row r="67" spans="1:16" hidden="1">
      <c r="A67" s="416"/>
      <c r="B67" s="325"/>
      <c r="C67" s="325"/>
      <c r="D67" s="325"/>
      <c r="E67" s="325"/>
      <c r="F67" s="383"/>
      <c r="G67" s="708">
        <f t="shared" si="9"/>
        <v>0</v>
      </c>
      <c r="I67" s="68">
        <f>G67-SUM(B67:F67)</f>
        <v>0</v>
      </c>
    </row>
    <row r="68" spans="1:16" ht="7.5" hidden="1" thickBot="1">
      <c r="A68" s="711"/>
      <c r="B68" s="712"/>
      <c r="C68" s="712"/>
      <c r="D68" s="712"/>
      <c r="E68" s="712"/>
      <c r="F68" s="713"/>
      <c r="G68" s="714">
        <f t="shared" si="9"/>
        <v>0</v>
      </c>
      <c r="I68" s="68">
        <f>G68-SUM(B68:F68)</f>
        <v>0</v>
      </c>
    </row>
    <row r="69" spans="1:16" ht="11.5" hidden="1" thickTop="1" thickBot="1">
      <c r="A69" s="337" t="s">
        <v>171</v>
      </c>
      <c r="B69" s="149">
        <f t="shared" ref="B69:I69" si="10">SUM(B64:B68)</f>
        <v>0</v>
      </c>
      <c r="C69" s="149">
        <f t="shared" si="10"/>
        <v>0</v>
      </c>
      <c r="D69" s="149">
        <f t="shared" si="10"/>
        <v>0</v>
      </c>
      <c r="E69" s="149">
        <f t="shared" si="10"/>
        <v>0</v>
      </c>
      <c r="F69" s="706">
        <f t="shared" si="10"/>
        <v>0</v>
      </c>
      <c r="G69" s="150">
        <f t="shared" si="9"/>
        <v>0</v>
      </c>
      <c r="I69" s="68">
        <f t="shared" si="10"/>
        <v>0</v>
      </c>
    </row>
    <row r="71" spans="1:16" ht="11" hidden="1" thickBot="1">
      <c r="A71" s="809" t="str">
        <f>CONCATENATE(" PAYMENTS MADE IN ",Summary!$B$1," EARLY, PROVISIONED (RECEIVED) FROM ",Summary!$B$1+1)</f>
        <v xml:space="preserve"> PAYMENTS MADE IN 2024 EARLY, PROVISIONED (RECEIVED) FROM 2025</v>
      </c>
      <c r="B71" s="810"/>
      <c r="C71" s="810"/>
      <c r="D71" s="810"/>
      <c r="E71" s="810"/>
      <c r="F71" s="810"/>
      <c r="G71" s="810"/>
      <c r="H71" s="811"/>
      <c r="I71" s="811"/>
    </row>
    <row r="72" spans="1:16" ht="7.5" hidden="1" thickTop="1">
      <c r="A72" s="340" t="s">
        <v>130</v>
      </c>
      <c r="B72" s="441"/>
      <c r="C72" s="441"/>
      <c r="D72" s="344"/>
      <c r="E72" s="344"/>
      <c r="F72" s="417"/>
      <c r="G72" s="60" t="s">
        <v>82</v>
      </c>
      <c r="I72" s="14"/>
      <c r="P72" s="280"/>
    </row>
    <row r="73" spans="1:16" ht="7.5" hidden="1" thickBot="1">
      <c r="A73" s="345" t="s">
        <v>129</v>
      </c>
      <c r="B73" s="346"/>
      <c r="C73" s="362"/>
      <c r="D73" s="346"/>
      <c r="E73" s="346"/>
      <c r="F73" s="347"/>
      <c r="G73" s="718" t="s">
        <v>190</v>
      </c>
      <c r="I73" s="14"/>
    </row>
    <row r="74" spans="1:16" ht="7.5" hidden="1" thickTop="1">
      <c r="A74" s="484"/>
      <c r="B74" s="348"/>
      <c r="C74" s="361"/>
      <c r="D74" s="348"/>
      <c r="E74" s="348"/>
      <c r="F74" s="715"/>
      <c r="G74" s="707">
        <f>SUM(B74:F74)</f>
        <v>0</v>
      </c>
      <c r="I74" s="68"/>
    </row>
    <row r="75" spans="1:16" ht="7.5" hidden="1" thickBot="1">
      <c r="A75" s="416"/>
      <c r="B75" s="325"/>
      <c r="C75" s="325"/>
      <c r="D75" s="325"/>
      <c r="E75" s="325"/>
      <c r="F75" s="383"/>
      <c r="G75" s="708">
        <f>SUM(B75:F75)</f>
        <v>0</v>
      </c>
      <c r="I75" s="68"/>
    </row>
    <row r="76" spans="1:16" hidden="1">
      <c r="A76" s="354"/>
      <c r="B76" s="325"/>
      <c r="C76" s="325"/>
      <c r="D76" s="325"/>
      <c r="E76" s="325"/>
      <c r="F76" s="383"/>
      <c r="G76" s="708">
        <f>SUM(B76:F76)</f>
        <v>0</v>
      </c>
      <c r="I76" s="68"/>
    </row>
    <row r="77" spans="1:16" hidden="1">
      <c r="A77" s="416"/>
      <c r="B77" s="325"/>
      <c r="C77" s="325"/>
      <c r="D77" s="325"/>
      <c r="E77" s="325"/>
      <c r="F77" s="383"/>
      <c r="G77" s="708">
        <f>SUM(B77:F77)</f>
        <v>0</v>
      </c>
      <c r="I77" s="68"/>
    </row>
    <row r="78" spans="1:16" ht="7.5" hidden="1" thickBot="1">
      <c r="A78" s="711"/>
      <c r="B78" s="712"/>
      <c r="C78" s="712"/>
      <c r="D78" s="712"/>
      <c r="E78" s="712"/>
      <c r="F78" s="713"/>
      <c r="G78" s="714">
        <f>SUM(B78:F78)</f>
        <v>0</v>
      </c>
      <c r="I78" s="68"/>
    </row>
    <row r="79" spans="1:16" ht="11.5" hidden="1" thickTop="1" thickBot="1">
      <c r="A79" s="337" t="s">
        <v>172</v>
      </c>
      <c r="B79" s="149">
        <f t="shared" ref="B79:G79" si="11">SUM(B74:B78)</f>
        <v>0</v>
      </c>
      <c r="C79" s="149">
        <f t="shared" si="11"/>
        <v>0</v>
      </c>
      <c r="D79" s="149">
        <f t="shared" si="11"/>
        <v>0</v>
      </c>
      <c r="E79" s="149">
        <f t="shared" si="11"/>
        <v>0</v>
      </c>
      <c r="F79" s="706">
        <f t="shared" si="11"/>
        <v>0</v>
      </c>
      <c r="G79" s="150">
        <f t="shared" si="11"/>
        <v>0</v>
      </c>
      <c r="I79" s="68"/>
    </row>
    <row r="80" spans="1:16" hidden="1"/>
    <row r="81" spans="1:16" ht="11" thickBot="1">
      <c r="A81" s="809" t="str">
        <f>CONCATENATE(" PAYMENTS COMMITTED &amp; NOT PAID IN ",Summary!$B$1,"; PROVISIONED (PAID) INTO ",Summary!$B$1+1, "TO PAY IN ",Summary!$B$1+1)</f>
        <v xml:space="preserve"> PAYMENTS COMMITTED &amp; NOT PAID IN 2024; PROVISIONED (PAID) INTO 2025TO PAY IN 2025</v>
      </c>
      <c r="B81" s="810"/>
      <c r="C81" s="810"/>
      <c r="D81" s="810"/>
      <c r="E81" s="810"/>
      <c r="F81" s="811"/>
      <c r="G81" s="810"/>
      <c r="H81" s="811"/>
      <c r="I81" s="811"/>
    </row>
    <row r="82" spans="1:16" ht="7.5" thickTop="1">
      <c r="A82" s="340" t="s">
        <v>130</v>
      </c>
      <c r="B82" s="441"/>
      <c r="C82" s="441"/>
      <c r="D82" s="344"/>
      <c r="E82" s="344"/>
      <c r="F82" s="774"/>
      <c r="G82" s="3" t="s">
        <v>82</v>
      </c>
      <c r="H82" s="9"/>
      <c r="I82" s="14"/>
      <c r="P82" s="280"/>
    </row>
    <row r="83" spans="1:16" ht="7.5" thickBot="1">
      <c r="A83" s="345" t="s">
        <v>129</v>
      </c>
      <c r="B83" s="346"/>
      <c r="C83" s="362"/>
      <c r="D83" s="346"/>
      <c r="E83" s="346"/>
      <c r="F83" s="347"/>
      <c r="G83" s="151" t="s">
        <v>163</v>
      </c>
      <c r="H83" s="9"/>
      <c r="I83" s="14"/>
    </row>
    <row r="84" spans="1:16" ht="8" thickTop="1" thickBot="1">
      <c r="A84" s="484" t="str">
        <f>Summary!N85</f>
        <v>PROVISIONED PAYMENTS</v>
      </c>
      <c r="B84" s="348" t="str">
        <f>Summary!T85</f>
        <v>Provision</v>
      </c>
      <c r="C84" s="361"/>
      <c r="D84" s="348"/>
      <c r="E84" s="348"/>
      <c r="F84" s="715"/>
      <c r="G84" s="707">
        <f t="shared" ref="G84:G89" si="12">SUM(B84:F84)</f>
        <v>0</v>
      </c>
      <c r="H84" s="9"/>
      <c r="I84" s="68"/>
    </row>
    <row r="85" spans="1:16" ht="7.5" thickTop="1">
      <c r="A85" s="484" t="str">
        <f ca="1">Summary!N86</f>
        <v>Reposition lugs on rear steps</v>
      </c>
      <c r="B85" s="348">
        <f ca="1">Summary!T86</f>
        <v>50</v>
      </c>
      <c r="C85" s="361"/>
      <c r="D85" s="348"/>
      <c r="E85" s="348"/>
      <c r="F85" s="715"/>
      <c r="G85" s="707">
        <f t="shared" ca="1" si="12"/>
        <v>50</v>
      </c>
      <c r="H85" s="9"/>
      <c r="I85" s="68"/>
    </row>
    <row r="86" spans="1:16">
      <c r="A86" s="416" t="str">
        <f ca="1">Summary!N87</f>
        <v>Permanent cover for boiler chimney</v>
      </c>
      <c r="B86" s="325">
        <f ca="1">Summary!T87</f>
        <v>50</v>
      </c>
      <c r="C86" s="325"/>
      <c r="D86" s="325"/>
      <c r="E86" s="325"/>
      <c r="F86" s="383"/>
      <c r="G86" s="708">
        <f t="shared" ca="1" si="12"/>
        <v>50</v>
      </c>
      <c r="H86" s="9"/>
      <c r="I86" s="68"/>
    </row>
    <row r="87" spans="1:16">
      <c r="A87" s="354" t="str">
        <f ca="1">Summary!N88</f>
        <v>Arrange re-blacking the hull (one coat epoxy)</v>
      </c>
      <c r="B87" s="325">
        <f ca="1">Summary!T88</f>
        <v>700</v>
      </c>
      <c r="C87" s="325"/>
      <c r="D87" s="325"/>
      <c r="E87" s="325"/>
      <c r="F87" s="383"/>
      <c r="G87" s="708">
        <f t="shared" ca="1" si="12"/>
        <v>700</v>
      </c>
      <c r="H87" s="9"/>
      <c r="I87" s="68"/>
    </row>
    <row r="88" spans="1:16">
      <c r="A88" s="416" t="str">
        <f ca="1">Summary!N89</f>
        <v>Arrange repair of gunnel under rear boards.</v>
      </c>
      <c r="B88" s="325">
        <f>Summary!T89</f>
        <v>2000</v>
      </c>
      <c r="C88" s="325"/>
      <c r="D88" s="325"/>
      <c r="E88" s="325"/>
      <c r="F88" s="383"/>
      <c r="G88" s="708">
        <f t="shared" si="12"/>
        <v>2000</v>
      </c>
      <c r="H88" s="9"/>
      <c r="I88" s="68"/>
    </row>
    <row r="89" spans="1:16">
      <c r="A89" s="355" t="str">
        <f ca="1">Summary!N90</f>
        <v>Arrange Improvent of the balance of the rudder</v>
      </c>
      <c r="B89" s="356">
        <f ca="1">Summary!T90</f>
        <v>50</v>
      </c>
      <c r="C89" s="356"/>
      <c r="D89" s="356"/>
      <c r="E89" s="356"/>
      <c r="F89" s="709"/>
      <c r="G89" s="714">
        <f t="shared" ca="1" si="12"/>
        <v>50</v>
      </c>
      <c r="H89" s="9"/>
      <c r="I89" s="68"/>
    </row>
    <row r="90" spans="1:16" ht="11" thickBot="1">
      <c r="A90" s="124" t="s">
        <v>81</v>
      </c>
      <c r="B90" s="125">
        <f t="shared" ref="B90:F90" ca="1" si="13">SUM(B85:B89)</f>
        <v>2850</v>
      </c>
      <c r="C90" s="125">
        <f t="shared" si="13"/>
        <v>0</v>
      </c>
      <c r="D90" s="125">
        <f t="shared" si="13"/>
        <v>0</v>
      </c>
      <c r="E90" s="125">
        <f t="shared" si="13"/>
        <v>0</v>
      </c>
      <c r="F90" s="710">
        <f t="shared" si="13"/>
        <v>0</v>
      </c>
      <c r="G90" s="716">
        <f ca="1">SUM(G84:G89)</f>
        <v>2850</v>
      </c>
      <c r="H90" s="9"/>
      <c r="I90" s="68"/>
    </row>
    <row r="91" spans="1:16" ht="7.5" thickTop="1"/>
  </sheetData>
  <mergeCells count="6">
    <mergeCell ref="A25:I25"/>
    <mergeCell ref="A81:I81"/>
    <mergeCell ref="A61:D61"/>
    <mergeCell ref="A50:I50"/>
    <mergeCell ref="A71:I71"/>
    <mergeCell ref="A37:I37"/>
  </mergeCells>
  <phoneticPr fontId="9" type="noConversion"/>
  <pageMargins left="0.35433070866141736" right="0.35433070866141736" top="0.27559055118110237" bottom="0.27559055118110237" header="0" footer="0.27559055118110237"/>
  <pageSetup paperSize="9" orientation="landscape" verticalDpi="4" r:id="rId1"/>
  <headerFooter alignWithMargins="0"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Di's Summary</vt:lpstr>
      <vt:lpstr>Summary</vt:lpstr>
      <vt:lpstr>TRIP_ACCOUNTS</vt:lpstr>
      <vt:lpstr>LATE BANKING</vt:lpstr>
      <vt:lpstr>MAINTENANCE</vt:lpstr>
      <vt:lpstr>OTHER COSTS</vt:lpstr>
      <vt:lpstr>PROVISIONS &amp; SUBS</vt:lpstr>
      <vt:lpstr>'Di''s Summary'!Print_Area</vt:lpstr>
      <vt:lpstr>'LATE BANKING'!Print_Area</vt:lpstr>
      <vt:lpstr>MAINTENANCE!Print_Area</vt:lpstr>
      <vt:lpstr>'OTHER COSTS'!Print_Area</vt:lpstr>
      <vt:lpstr>'PROVISIONS &amp; SUBS'!Print_Area</vt:lpstr>
      <vt:lpstr>Summary!Print_Area</vt:lpstr>
      <vt:lpstr>TRIP_ACCOUNTS!Print_Area</vt:lpstr>
      <vt:lpstr>'LATE BANKING'!Print_Titles</vt:lpstr>
      <vt:lpstr>MAINTENANCE!Print_Titles</vt:lpstr>
      <vt:lpstr>'OTHER COSTS'!Print_Titles</vt:lpstr>
      <vt:lpstr>'PROVISIONS &amp; SUBS'!Print_Titles</vt:lpstr>
      <vt:lpstr>Summary!Print_Titles</vt:lpstr>
      <vt:lpstr>TRIP_ACCOUNTS!Print_Titles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Broughton</dc:creator>
  <cp:lastModifiedBy>Phil</cp:lastModifiedBy>
  <cp:lastPrinted>2025-01-21T00:14:10Z</cp:lastPrinted>
  <dcterms:created xsi:type="dcterms:W3CDTF">2001-11-01T11:07:00Z</dcterms:created>
  <dcterms:modified xsi:type="dcterms:W3CDTF">2025-01-31T15:19:42Z</dcterms:modified>
</cp:coreProperties>
</file>