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10" yWindow="-110" windowWidth="19420" windowHeight="11020" tabRatio="604" activeTab="2"/>
  </bookViews>
  <sheets>
    <sheet name="Di's Summary" sheetId="21040" r:id="rId1"/>
    <sheet name="Summary" sheetId="1" r:id="rId2"/>
    <sheet name="TRIP_ACCOUNTS" sheetId="2" r:id="rId3"/>
    <sheet name="MAINTENANCE" sheetId="3" r:id="rId4"/>
    <sheet name="LATE BANKING" sheetId="3356" r:id="rId5"/>
    <sheet name="OTHER COSTS" sheetId="21039" r:id="rId6"/>
    <sheet name="PROVISIONS &amp; SUBS" sheetId="40" r:id="rId7"/>
    <sheet name="Sheet1" sheetId="21041" r:id="rId8"/>
  </sheets>
  <definedNames>
    <definedName name="_xlnm.Print_Area" localSheetId="0">'Di''s Summary'!$A$1:$E$16</definedName>
    <definedName name="_xlnm.Print_Area" localSheetId="4">'LATE BANKING'!$A$1:$Y$41</definedName>
    <definedName name="_xlnm.Print_Area" localSheetId="3">MAINTENANCE!$A$1:$BR$56</definedName>
    <definedName name="_xlnm.Print_Area" localSheetId="5">'OTHER COSTS'!$A$4:$BS$82</definedName>
    <definedName name="_xlnm.Print_Area" localSheetId="6">'PROVISIONS &amp; SUBS'!$A$1:$J$80</definedName>
    <definedName name="_xlnm.Print_Area" localSheetId="1">Summary!$A$2:$T$102</definedName>
    <definedName name="_xlnm.Print_Area" localSheetId="2">TRIP_ACCOUNTS!$A$1:$T$141</definedName>
    <definedName name="_xlnm.Print_Titles" localSheetId="4">'LATE BANKING'!$1:$3</definedName>
    <definedName name="_xlnm.Print_Titles" localSheetId="3">MAINTENANCE!$1:$2</definedName>
    <definedName name="_xlnm.Print_Titles" localSheetId="5">'OTHER COSTS'!$A:$A,'OTHER COSTS'!$1:$3</definedName>
    <definedName name="_xlnm.Print_Titles" localSheetId="6">'PROVISIONS &amp; SUBS'!$1:$4</definedName>
    <definedName name="_xlnm.Print_Titles" localSheetId="1">Summary!$2:$2</definedName>
    <definedName name="_xlnm.Print_Titles" localSheetId="2">TRIP_ACCOUNTS!$1:$2</definedName>
    <definedName name="SUMMARY">Summary!$A$3:$T$101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0" i="1"/>
  <c r="X80"/>
  <c r="W80"/>
  <c r="Y79"/>
  <c r="X79"/>
  <c r="W79"/>
  <c r="S79"/>
  <c r="T79"/>
  <c r="S80"/>
  <c r="N80"/>
  <c r="N79"/>
  <c r="O46" l="1"/>
  <c r="V52"/>
  <c r="V46"/>
  <c r="T10"/>
  <c r="K40"/>
  <c r="A37" i="40" l="1"/>
  <c r="A25"/>
  <c r="A22"/>
  <c r="L9" i="1"/>
  <c r="N21"/>
  <c r="N22"/>
  <c r="B29"/>
  <c r="B50"/>
  <c r="A49" i="40" l="1"/>
  <c r="A82"/>
  <c r="G89"/>
  <c r="G88"/>
  <c r="G87"/>
  <c r="G86"/>
  <c r="G85"/>
  <c r="D25"/>
  <c r="C25"/>
  <c r="B25"/>
  <c r="D37"/>
  <c r="C37"/>
  <c r="B37"/>
  <c r="A62"/>
  <c r="G79"/>
  <c r="G78"/>
  <c r="G77"/>
  <c r="G76"/>
  <c r="G75"/>
  <c r="A72"/>
  <c r="G69"/>
  <c r="G68"/>
  <c r="G67"/>
  <c r="G66"/>
  <c r="G65"/>
  <c r="G59"/>
  <c r="G58"/>
  <c r="G57"/>
  <c r="G56"/>
  <c r="G55"/>
  <c r="B54"/>
  <c r="G54" s="1"/>
  <c r="A51"/>
  <c r="L79" i="1" l="1"/>
  <c r="H79"/>
  <c r="H78"/>
  <c r="J44"/>
  <c r="H89"/>
  <c r="H88"/>
  <c r="H87"/>
  <c r="AA100"/>
  <c r="Z100"/>
  <c r="Y100"/>
  <c r="X100"/>
  <c r="AA99"/>
  <c r="Z99"/>
  <c r="Y99"/>
  <c r="X99"/>
  <c r="AA98"/>
  <c r="Z98"/>
  <c r="Y98"/>
  <c r="X98"/>
  <c r="L73"/>
  <c r="H73"/>
  <c r="L72"/>
  <c r="H72"/>
  <c r="H71"/>
  <c r="H70"/>
  <c r="H69"/>
  <c r="N100"/>
  <c r="T100"/>
  <c r="N99"/>
  <c r="T105" l="1"/>
  <c r="A2" l="1"/>
  <c r="E118" i="2"/>
  <c r="D118"/>
  <c r="C118"/>
  <c r="B118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A105" i="1"/>
  <c r="Y70"/>
  <c r="X70"/>
  <c r="W70"/>
  <c r="S70"/>
  <c r="B11" i="2" l="1"/>
  <c r="C11" s="1"/>
  <c r="D11" s="1"/>
  <c r="E11" s="1"/>
  <c r="F11" s="1"/>
  <c r="G11" s="1"/>
  <c r="H11" s="1"/>
  <c r="I11" s="1"/>
  <c r="J11" s="1"/>
  <c r="K11" s="1"/>
  <c r="L11" s="1"/>
  <c r="M11" s="1"/>
  <c r="N11" s="1"/>
  <c r="O11" s="1"/>
  <c r="P11" s="1"/>
  <c r="Q11" s="1"/>
  <c r="R11" s="1"/>
  <c r="S11" s="1"/>
  <c r="B47" s="1"/>
  <c r="BT55" i="21039" l="1"/>
  <c r="L87" i="1" s="1"/>
  <c r="BT64" i="21039"/>
  <c r="L95" i="1" s="1"/>
  <c r="H96"/>
  <c r="H95"/>
  <c r="BT15" i="21039"/>
  <c r="BT14"/>
  <c r="BT13"/>
  <c r="BT12"/>
  <c r="BT11"/>
  <c r="AA97" i="1"/>
  <c r="Z97"/>
  <c r="Y97"/>
  <c r="X97"/>
  <c r="BT16" i="21039"/>
  <c r="L69" i="1" s="1"/>
  <c r="AA96"/>
  <c r="AA95"/>
  <c r="Z96"/>
  <c r="Y96"/>
  <c r="X96"/>
  <c r="Z95"/>
  <c r="Y95"/>
  <c r="X95"/>
  <c r="Y88"/>
  <c r="X88"/>
  <c r="W88"/>
  <c r="Y87"/>
  <c r="X87"/>
  <c r="W87"/>
  <c r="H68"/>
  <c r="L67"/>
  <c r="H67"/>
  <c r="L66"/>
  <c r="H66"/>
  <c r="BT66" i="21039"/>
  <c r="BT63"/>
  <c r="J63"/>
  <c r="BT62"/>
  <c r="L68" i="1"/>
  <c r="BT65" i="21039"/>
  <c r="L96" i="1" s="1"/>
  <c r="BT10" i="21039"/>
  <c r="BT9"/>
  <c r="BT8"/>
  <c r="BT7"/>
  <c r="BT6"/>
  <c r="T88" i="1"/>
  <c r="N88"/>
  <c r="S88"/>
  <c r="N98"/>
  <c r="S87"/>
  <c r="T98"/>
  <c r="C91" l="1"/>
  <c r="C90"/>
  <c r="C89"/>
  <c r="C88"/>
  <c r="C87"/>
  <c r="C86"/>
  <c r="C85"/>
  <c r="C84"/>
  <c r="C81"/>
  <c r="C68"/>
  <c r="C67"/>
  <c r="C66"/>
  <c r="C65"/>
  <c r="C64"/>
  <c r="C63"/>
  <c r="C62"/>
  <c r="C61"/>
  <c r="C60"/>
  <c r="C57"/>
  <c r="C56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E85"/>
  <c r="A56"/>
  <c r="BT7" i="3"/>
  <c r="C58" i="1" s="1"/>
  <c r="J39"/>
  <c r="N70"/>
  <c r="N87"/>
  <c r="G28" i="40" l="1"/>
  <c r="G69" i="1"/>
  <c r="G68"/>
  <c r="G67"/>
  <c r="G66"/>
  <c r="G60"/>
  <c r="D92"/>
  <c r="J41" s="1"/>
  <c r="J21"/>
  <c r="L6" l="1"/>
  <c r="A49"/>
  <c r="H82"/>
  <c r="BN50" i="21039"/>
  <c r="BR50"/>
  <c r="BR51"/>
  <c r="BT52"/>
  <c r="BT53"/>
  <c r="BT54"/>
  <c r="BT56"/>
  <c r="L88" i="1" s="1"/>
  <c r="BT57" i="21039"/>
  <c r="L89" i="1" s="1"/>
  <c r="BT58" i="21039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C59"/>
  <c r="BD59"/>
  <c r="BE59"/>
  <c r="BF59"/>
  <c r="BG59"/>
  <c r="BH59"/>
  <c r="BI59"/>
  <c r="BJ59"/>
  <c r="BK59"/>
  <c r="BL59"/>
  <c r="BM59"/>
  <c r="BN59"/>
  <c r="BO59"/>
  <c r="BP59"/>
  <c r="BQ59"/>
  <c r="BR59"/>
  <c r="T90" i="1"/>
  <c r="O16"/>
  <c r="O17"/>
  <c r="S16"/>
  <c r="N14"/>
  <c r="A50"/>
  <c r="A29"/>
  <c r="BT59" i="21039" l="1"/>
  <c r="I41" i="40"/>
  <c r="G41"/>
  <c r="J31" i="1"/>
  <c r="H84" l="1"/>
  <c r="H85"/>
  <c r="H86"/>
  <c r="C41" i="3356"/>
  <c r="H76" i="1" l="1"/>
  <c r="AA104"/>
  <c r="AA94"/>
  <c r="AA93"/>
  <c r="S17" i="2"/>
  <c r="R17"/>
  <c r="Q17"/>
  <c r="P17"/>
  <c r="O17"/>
  <c r="Y90" i="1" l="1"/>
  <c r="X90"/>
  <c r="W90"/>
  <c r="Y86"/>
  <c r="X86"/>
  <c r="W86"/>
  <c r="Y85"/>
  <c r="X85"/>
  <c r="W85"/>
  <c r="Z105"/>
  <c r="Y105"/>
  <c r="X105"/>
  <c r="Z104"/>
  <c r="Y104"/>
  <c r="X104"/>
  <c r="AA103"/>
  <c r="Z103"/>
  <c r="Y103"/>
  <c r="X103"/>
  <c r="Z94"/>
  <c r="Y94"/>
  <c r="X94"/>
  <c r="Z93"/>
  <c r="Y93"/>
  <c r="X93"/>
  <c r="AA92"/>
  <c r="Z92"/>
  <c r="Y92"/>
  <c r="X92"/>
  <c r="Y84"/>
  <c r="X84"/>
  <c r="W84"/>
  <c r="Y83"/>
  <c r="X83"/>
  <c r="W83"/>
  <c r="N90"/>
  <c r="S85"/>
  <c r="N85"/>
  <c r="N86"/>
  <c r="S86"/>
  <c r="S84"/>
  <c r="N84"/>
  <c r="N83"/>
  <c r="S83"/>
  <c r="N82" l="1"/>
  <c r="Y76"/>
  <c r="X76"/>
  <c r="W76"/>
  <c r="Y75"/>
  <c r="X75"/>
  <c r="W75"/>
  <c r="S76"/>
  <c r="N76"/>
  <c r="S75"/>
  <c r="N75"/>
  <c r="N74" l="1"/>
  <c r="Y73"/>
  <c r="X73"/>
  <c r="W73"/>
  <c r="Y78"/>
  <c r="X78"/>
  <c r="W78"/>
  <c r="Y77"/>
  <c r="X77"/>
  <c r="W77"/>
  <c r="Y69"/>
  <c r="X69"/>
  <c r="W69"/>
  <c r="Y68"/>
  <c r="X68"/>
  <c r="W68"/>
  <c r="Y67"/>
  <c r="X67"/>
  <c r="W67"/>
  <c r="N73"/>
  <c r="S73"/>
  <c r="N69"/>
  <c r="N78"/>
  <c r="S67"/>
  <c r="N68"/>
  <c r="S69"/>
  <c r="N77"/>
  <c r="S78"/>
  <c r="N67"/>
  <c r="S68"/>
  <c r="S77"/>
  <c r="D45" l="1"/>
  <c r="J46"/>
  <c r="D46"/>
  <c r="J30"/>
  <c r="I30" s="1"/>
  <c r="BT70" i="21039"/>
  <c r="BT67"/>
  <c r="BT73" l="1"/>
  <c r="BT72"/>
  <c r="BT71"/>
  <c r="BT69"/>
  <c r="BT68"/>
  <c r="S64" i="1" l="1"/>
  <c r="W65" l="1"/>
  <c r="X65"/>
  <c r="Y65"/>
  <c r="S65"/>
  <c r="N65"/>
  <c r="W66" l="1"/>
  <c r="X66"/>
  <c r="Y66"/>
  <c r="A6"/>
  <c r="F90" i="40"/>
  <c r="E90"/>
  <c r="D90"/>
  <c r="C90"/>
  <c r="B90"/>
  <c r="H45"/>
  <c r="F45"/>
  <c r="F46" s="1"/>
  <c r="E45"/>
  <c r="E46" s="1"/>
  <c r="D45"/>
  <c r="D46" s="1"/>
  <c r="C45"/>
  <c r="C46" s="1"/>
  <c r="B45"/>
  <c r="B46" s="1"/>
  <c r="I44"/>
  <c r="G44"/>
  <c r="I43"/>
  <c r="G43"/>
  <c r="I42"/>
  <c r="G42"/>
  <c r="G45" s="1"/>
  <c r="I40"/>
  <c r="B89" i="2"/>
  <c r="N66" i="1"/>
  <c r="S66"/>
  <c r="I45" i="40" l="1"/>
  <c r="T64" i="1"/>
  <c r="C10" i="40"/>
  <c r="G10"/>
  <c r="I10"/>
  <c r="B10"/>
  <c r="T17" i="1" l="1"/>
  <c r="G90" i="40"/>
  <c r="D8" i="21040"/>
  <c r="S17" i="1" l="1"/>
  <c r="T2" l="1"/>
  <c r="P2" l="1"/>
  <c r="U6"/>
  <c r="F70" i="40"/>
  <c r="E70"/>
  <c r="D70"/>
  <c r="C70"/>
  <c r="B70"/>
  <c r="I69"/>
  <c r="I68"/>
  <c r="I67"/>
  <c r="I66"/>
  <c r="I64"/>
  <c r="G70" l="1"/>
  <c r="R16" i="1" s="1"/>
  <c r="I65" i="40"/>
  <c r="I70" s="1"/>
  <c r="H33"/>
  <c r="F33"/>
  <c r="F34" s="1"/>
  <c r="F35" s="1"/>
  <c r="E33"/>
  <c r="E34" s="1"/>
  <c r="E35" s="1"/>
  <c r="D33"/>
  <c r="D34" s="1"/>
  <c r="D35" s="1"/>
  <c r="C33"/>
  <c r="C34" s="1"/>
  <c r="C35" s="1"/>
  <c r="B33"/>
  <c r="I32"/>
  <c r="G32"/>
  <c r="I31"/>
  <c r="G31"/>
  <c r="I30"/>
  <c r="G30"/>
  <c r="I29"/>
  <c r="G29"/>
  <c r="I28"/>
  <c r="I33" l="1"/>
  <c r="D8" i="1" s="1"/>
  <c r="B35" i="40"/>
  <c r="K35" s="1"/>
  <c r="G33"/>
  <c r="I46" i="1" s="1"/>
  <c r="K46" l="1"/>
  <c r="P52" s="1"/>
  <c r="O51"/>
  <c r="H99"/>
  <c r="H94"/>
  <c r="H93"/>
  <c r="L93"/>
  <c r="N104"/>
  <c r="T103"/>
  <c r="N103"/>
  <c r="B6" i="2" l="1"/>
  <c r="BT27" i="3"/>
  <c r="C78" i="1" s="1"/>
  <c r="BT26" i="3"/>
  <c r="E93" i="1"/>
  <c r="G93" s="1"/>
  <c r="C77" l="1"/>
  <c r="J12" i="40"/>
  <c r="G12" i="1"/>
  <c r="N17" i="2"/>
  <c r="M17"/>
  <c r="L17"/>
  <c r="K17"/>
  <c r="J17"/>
  <c r="L94" i="1"/>
  <c r="L97" s="1"/>
  <c r="L62"/>
  <c r="L60"/>
  <c r="L59"/>
  <c r="L99"/>
  <c r="D30"/>
  <c r="G97"/>
  <c r="B42" i="2"/>
  <c r="B45" s="1"/>
  <c r="B48" s="1"/>
  <c r="BT81" i="21039"/>
  <c r="BT80"/>
  <c r="BT79"/>
  <c r="BT78"/>
  <c r="BT77"/>
  <c r="BT76"/>
  <c r="BT75"/>
  <c r="BT74"/>
  <c r="BT28"/>
  <c r="BT27"/>
  <c r="AO41"/>
  <c r="U137" i="2"/>
  <c r="B46" i="1" s="1"/>
  <c r="I39" s="1"/>
  <c r="U124" i="2"/>
  <c r="B26" i="1" s="1"/>
  <c r="I22" s="1"/>
  <c r="K22" s="1"/>
  <c r="H10" i="40"/>
  <c r="D10"/>
  <c r="B12"/>
  <c r="B13" s="1"/>
  <c r="C42" i="3356"/>
  <c r="B42"/>
  <c r="L65" i="1"/>
  <c r="L63"/>
  <c r="BT40" i="21039"/>
  <c r="BT39"/>
  <c r="BT38"/>
  <c r="BT37"/>
  <c r="BT36"/>
  <c r="BT35"/>
  <c r="BT34"/>
  <c r="BT17"/>
  <c r="L70" i="1" s="1"/>
  <c r="BT33" i="21039"/>
  <c r="BT32"/>
  <c r="BT31"/>
  <c r="BT30"/>
  <c r="BT29"/>
  <c r="BT26"/>
  <c r="BT25"/>
  <c r="BT24"/>
  <c r="BT23"/>
  <c r="BT22"/>
  <c r="BT21"/>
  <c r="BT20"/>
  <c r="BT19"/>
  <c r="BT18"/>
  <c r="L71" i="1" s="1"/>
  <c r="AF41" i="21039"/>
  <c r="D39" i="3356"/>
  <c r="D25"/>
  <c r="D40" s="1"/>
  <c r="D41" s="1"/>
  <c r="D42" s="1"/>
  <c r="B18" i="40"/>
  <c r="S108" i="2"/>
  <c r="S109"/>
  <c r="R108"/>
  <c r="R109"/>
  <c r="Q108"/>
  <c r="Q109"/>
  <c r="P108"/>
  <c r="P109"/>
  <c r="O108"/>
  <c r="O109"/>
  <c r="N108"/>
  <c r="N109"/>
  <c r="M107"/>
  <c r="M108"/>
  <c r="M109"/>
  <c r="L107"/>
  <c r="L108"/>
  <c r="L109"/>
  <c r="K108"/>
  <c r="K109"/>
  <c r="J108"/>
  <c r="J109"/>
  <c r="I107"/>
  <c r="I108"/>
  <c r="I109"/>
  <c r="H108"/>
  <c r="H109"/>
  <c r="G107"/>
  <c r="G108"/>
  <c r="G109"/>
  <c r="F107"/>
  <c r="F108"/>
  <c r="F109"/>
  <c r="E107"/>
  <c r="E108"/>
  <c r="E109"/>
  <c r="E41" i="3356"/>
  <c r="E42" s="1"/>
  <c r="T56" i="3"/>
  <c r="S26" i="2" s="1"/>
  <c r="S41" i="21039"/>
  <c r="S82"/>
  <c r="S22" i="2" s="1"/>
  <c r="S23" s="1"/>
  <c r="S56" i="3"/>
  <c r="R41" i="21039"/>
  <c r="R85" s="1"/>
  <c r="R82"/>
  <c r="R22" i="2" s="1"/>
  <c r="R23" s="1"/>
  <c r="R56" i="3"/>
  <c r="Q41" i="21039"/>
  <c r="Q82"/>
  <c r="Q22" i="2" s="1"/>
  <c r="Q23" s="1"/>
  <c r="Q56" i="3"/>
  <c r="P26" i="2" s="1"/>
  <c r="P41" i="21039"/>
  <c r="P82"/>
  <c r="P22" i="2" s="1"/>
  <c r="P23" s="1"/>
  <c r="P56" i="3"/>
  <c r="O26" i="2" s="1"/>
  <c r="O41" i="21039"/>
  <c r="O82"/>
  <c r="O22" i="2" s="1"/>
  <c r="O23" s="1"/>
  <c r="O56" i="3"/>
  <c r="O59" s="1"/>
  <c r="N41" i="21039"/>
  <c r="N82"/>
  <c r="N22" i="2" s="1"/>
  <c r="N23" s="1"/>
  <c r="N56" i="3"/>
  <c r="N59" s="1"/>
  <c r="M41" i="21039"/>
  <c r="M82"/>
  <c r="M22" i="2" s="1"/>
  <c r="M23" s="1"/>
  <c r="M56" i="3"/>
  <c r="M59" s="1"/>
  <c r="L41" i="21039"/>
  <c r="L82"/>
  <c r="L22" i="2" s="1"/>
  <c r="L23" s="1"/>
  <c r="L56" i="3"/>
  <c r="L59" s="1"/>
  <c r="K41" i="21039"/>
  <c r="K82"/>
  <c r="K22" i="2" s="1"/>
  <c r="K23" s="1"/>
  <c r="K56" i="3"/>
  <c r="K59" s="1"/>
  <c r="J41" i="21039"/>
  <c r="J27" i="2" s="1"/>
  <c r="J82" i="21039"/>
  <c r="J22" i="2" s="1"/>
  <c r="J23" s="1"/>
  <c r="J56" i="3"/>
  <c r="J59" s="1"/>
  <c r="I41" i="21039"/>
  <c r="I82"/>
  <c r="I22" i="2" s="1"/>
  <c r="I23" s="1"/>
  <c r="I56" i="3"/>
  <c r="I59" s="1"/>
  <c r="H41" i="21039"/>
  <c r="H82"/>
  <c r="H56" i="3"/>
  <c r="G41" i="21039"/>
  <c r="G82"/>
  <c r="G22" i="2" s="1"/>
  <c r="G23" s="1"/>
  <c r="F41" i="21039"/>
  <c r="F82"/>
  <c r="F22" i="2" s="1"/>
  <c r="F23" s="1"/>
  <c r="E41" i="21039"/>
  <c r="E82"/>
  <c r="E22" i="2" s="1"/>
  <c r="E23" s="1"/>
  <c r="D41" i="21039"/>
  <c r="D82"/>
  <c r="C41"/>
  <c r="C82"/>
  <c r="C22" i="2" s="1"/>
  <c r="C23" s="1"/>
  <c r="B41" i="21039"/>
  <c r="B82"/>
  <c r="B22" i="2" s="1"/>
  <c r="BP3" i="3"/>
  <c r="BP4" i="21039" s="1"/>
  <c r="BP50" s="1"/>
  <c r="U140" i="2"/>
  <c r="C56" i="3"/>
  <c r="C59" s="1"/>
  <c r="D56"/>
  <c r="D59" s="1"/>
  <c r="E56"/>
  <c r="E59" s="1"/>
  <c r="F56"/>
  <c r="G56"/>
  <c r="G59" s="1"/>
  <c r="U56"/>
  <c r="B62" i="2" s="1"/>
  <c r="V56" i="3"/>
  <c r="V59" s="1"/>
  <c r="W56"/>
  <c r="W59" s="1"/>
  <c r="X56"/>
  <c r="X59" s="1"/>
  <c r="Y56"/>
  <c r="Y59" s="1"/>
  <c r="Z56"/>
  <c r="Z59" s="1"/>
  <c r="AA56"/>
  <c r="AA59" s="1"/>
  <c r="AB56"/>
  <c r="AB59" s="1"/>
  <c r="AC56"/>
  <c r="J62" i="2" s="1"/>
  <c r="AD56" i="3"/>
  <c r="K62" i="2" s="1"/>
  <c r="AE56" i="3"/>
  <c r="AE59" s="1"/>
  <c r="AF56"/>
  <c r="AF59" s="1"/>
  <c r="AG56"/>
  <c r="N62" i="2" s="1"/>
  <c r="AH56" i="3"/>
  <c r="AH59" s="1"/>
  <c r="AI56"/>
  <c r="AJ56"/>
  <c r="AJ59" s="1"/>
  <c r="AK56"/>
  <c r="R62" i="2" s="1"/>
  <c r="AL56" i="3"/>
  <c r="S62" i="2" s="1"/>
  <c r="AM56" i="3"/>
  <c r="AM59" s="1"/>
  <c r="AN56"/>
  <c r="C98" i="2" s="1"/>
  <c r="AO56" i="3"/>
  <c r="AO59" s="1"/>
  <c r="AP56"/>
  <c r="AP59" s="1"/>
  <c r="AQ56"/>
  <c r="AR56"/>
  <c r="AR59" s="1"/>
  <c r="AS56"/>
  <c r="AT56"/>
  <c r="AT59" s="1"/>
  <c r="AU56"/>
  <c r="AU59" s="1"/>
  <c r="AV56"/>
  <c r="AV59" s="1"/>
  <c r="AW56"/>
  <c r="AX56"/>
  <c r="M98" i="2" s="1"/>
  <c r="AY56" i="3"/>
  <c r="AY59" s="1"/>
  <c r="AZ56"/>
  <c r="AZ59" s="1"/>
  <c r="BA56"/>
  <c r="P98" i="2" s="1"/>
  <c r="BB56" i="3"/>
  <c r="Q98" i="2" s="1"/>
  <c r="BC56" i="3"/>
  <c r="BC59" s="1"/>
  <c r="BD56"/>
  <c r="BD59" s="1"/>
  <c r="BE56"/>
  <c r="BE59" s="1"/>
  <c r="C134" i="2"/>
  <c r="D134"/>
  <c r="E134"/>
  <c r="L61" i="1"/>
  <c r="L64"/>
  <c r="BT13" i="3"/>
  <c r="E62" i="1" s="1"/>
  <c r="G62" s="1"/>
  <c r="BT8" i="3"/>
  <c r="BT40"/>
  <c r="E89" i="1" s="1"/>
  <c r="G89" s="1"/>
  <c r="J26"/>
  <c r="N142" i="2"/>
  <c r="BD41" i="21039"/>
  <c r="BD82"/>
  <c r="B130" i="2" s="1"/>
  <c r="B131" s="1"/>
  <c r="C145"/>
  <c r="C144"/>
  <c r="C135"/>
  <c r="C136"/>
  <c r="D145"/>
  <c r="D144"/>
  <c r="D135"/>
  <c r="D136"/>
  <c r="E145"/>
  <c r="E144"/>
  <c r="E135"/>
  <c r="E136"/>
  <c r="F142"/>
  <c r="M142"/>
  <c r="O142"/>
  <c r="P142"/>
  <c r="Q142"/>
  <c r="R142"/>
  <c r="S142"/>
  <c r="AN41" i="21039"/>
  <c r="D89" i="2"/>
  <c r="E89"/>
  <c r="AR41" i="21039"/>
  <c r="H89" i="2"/>
  <c r="AS41" i="21039"/>
  <c r="I89" i="2"/>
  <c r="AU41" i="21039"/>
  <c r="K99" i="2" s="1"/>
  <c r="K89"/>
  <c r="AW41" i="21039"/>
  <c r="M89" i="2"/>
  <c r="AX41" i="21039"/>
  <c r="N89" i="2"/>
  <c r="AY41" i="21039"/>
  <c r="O89" i="2"/>
  <c r="AZ41" i="21039"/>
  <c r="P89" i="2"/>
  <c r="BA41" i="21039"/>
  <c r="Q89" i="2"/>
  <c r="BB41" i="21039"/>
  <c r="R89" i="2"/>
  <c r="T41" i="21039"/>
  <c r="T82"/>
  <c r="B58" i="2" s="1"/>
  <c r="B59" s="1"/>
  <c r="U41" i="21039"/>
  <c r="U82"/>
  <c r="C58" i="2" s="1"/>
  <c r="C59" s="1"/>
  <c r="V41" i="21039"/>
  <c r="V82"/>
  <c r="D58" i="2" s="1"/>
  <c r="D59" s="1"/>
  <c r="X41" i="21039"/>
  <c r="X82"/>
  <c r="F58" i="2" s="1"/>
  <c r="F59" s="1"/>
  <c r="F53"/>
  <c r="Y41" i="21039"/>
  <c r="G63" i="2" s="1"/>
  <c r="Y82" i="21039"/>
  <c r="G53" i="2"/>
  <c r="AA41" i="21039"/>
  <c r="AA82"/>
  <c r="I58" i="2" s="1"/>
  <c r="I59" s="1"/>
  <c r="I53"/>
  <c r="AD41" i="21039"/>
  <c r="AD82"/>
  <c r="L53" i="2"/>
  <c r="AE41" i="21039"/>
  <c r="AE82"/>
  <c r="M58" i="2" s="1"/>
  <c r="M59" s="1"/>
  <c r="M53"/>
  <c r="B80" i="40"/>
  <c r="E10"/>
  <c r="F10"/>
  <c r="B1" i="21040"/>
  <c r="A1" i="3356"/>
  <c r="B8"/>
  <c r="B9" s="1"/>
  <c r="C8"/>
  <c r="C9" s="1"/>
  <c r="D8"/>
  <c r="D9" s="1"/>
  <c r="F8"/>
  <c r="F9" s="1"/>
  <c r="G8"/>
  <c r="G9" s="1"/>
  <c r="H8"/>
  <c r="J9" s="1"/>
  <c r="I8"/>
  <c r="I9" s="1"/>
  <c r="E9"/>
  <c r="K9"/>
  <c r="L9"/>
  <c r="M9"/>
  <c r="N9"/>
  <c r="O9"/>
  <c r="P9"/>
  <c r="Q9"/>
  <c r="R9"/>
  <c r="G16"/>
  <c r="G17" s="1"/>
  <c r="G18" s="1"/>
  <c r="G19" s="1"/>
  <c r="H16"/>
  <c r="H17" s="1"/>
  <c r="H18" s="1"/>
  <c r="I16"/>
  <c r="I17" s="1"/>
  <c r="I18" s="1"/>
  <c r="J16"/>
  <c r="J17" s="1"/>
  <c r="J18" s="1"/>
  <c r="K16"/>
  <c r="K17" s="1"/>
  <c r="K18" s="1"/>
  <c r="L16"/>
  <c r="L17" s="1"/>
  <c r="L18" s="1"/>
  <c r="M16"/>
  <c r="M17" s="1"/>
  <c r="M18" s="1"/>
  <c r="N16"/>
  <c r="N17" s="1"/>
  <c r="N18" s="1"/>
  <c r="O16"/>
  <c r="O17" s="1"/>
  <c r="O18" s="1"/>
  <c r="P16"/>
  <c r="P17" s="1"/>
  <c r="P18" s="1"/>
  <c r="Q16"/>
  <c r="Q17" s="1"/>
  <c r="Q18" s="1"/>
  <c r="R16"/>
  <c r="R17" s="1"/>
  <c r="R18" s="1"/>
  <c r="S16"/>
  <c r="S17" s="1"/>
  <c r="S18" s="1"/>
  <c r="G20"/>
  <c r="H20"/>
  <c r="I20"/>
  <c r="J20"/>
  <c r="K20"/>
  <c r="L20"/>
  <c r="M20"/>
  <c r="N20"/>
  <c r="O20"/>
  <c r="P20"/>
  <c r="Q20"/>
  <c r="R20"/>
  <c r="S20"/>
  <c r="F41"/>
  <c r="F42" s="1"/>
  <c r="G41"/>
  <c r="G42" s="1"/>
  <c r="H41"/>
  <c r="I41"/>
  <c r="I42" s="1"/>
  <c r="J41"/>
  <c r="J42" s="1"/>
  <c r="K41"/>
  <c r="K42" s="1"/>
  <c r="L41"/>
  <c r="L42"/>
  <c r="M41"/>
  <c r="M42" s="1"/>
  <c r="N41"/>
  <c r="N42" s="1"/>
  <c r="O42"/>
  <c r="P42"/>
  <c r="Q42"/>
  <c r="R42"/>
  <c r="B49"/>
  <c r="C49"/>
  <c r="D49"/>
  <c r="E49"/>
  <c r="F49"/>
  <c r="G49"/>
  <c r="B51"/>
  <c r="C51"/>
  <c r="D51"/>
  <c r="E51"/>
  <c r="F51"/>
  <c r="G51"/>
  <c r="B56"/>
  <c r="C56"/>
  <c r="D56"/>
  <c r="E56"/>
  <c r="F56"/>
  <c r="G56"/>
  <c r="B62"/>
  <c r="B70" s="1"/>
  <c r="B71" s="1"/>
  <c r="B72" s="1"/>
  <c r="B73" s="1"/>
  <c r="C62"/>
  <c r="C70" s="1"/>
  <c r="D62"/>
  <c r="D70" s="1"/>
  <c r="E62"/>
  <c r="E70" s="1"/>
  <c r="E71" s="1"/>
  <c r="E72" s="1"/>
  <c r="E73" s="1"/>
  <c r="F62"/>
  <c r="F70" s="1"/>
  <c r="G62"/>
  <c r="G70" s="1"/>
  <c r="B69"/>
  <c r="C69"/>
  <c r="D69"/>
  <c r="E69"/>
  <c r="F69"/>
  <c r="G69"/>
  <c r="H73"/>
  <c r="I73"/>
  <c r="J73"/>
  <c r="K73"/>
  <c r="L73"/>
  <c r="M73"/>
  <c r="N73"/>
  <c r="O73"/>
  <c r="P73"/>
  <c r="Q73"/>
  <c r="R73"/>
  <c r="B1" i="3"/>
  <c r="C3"/>
  <c r="B4" i="21039" s="1"/>
  <c r="B50" s="1"/>
  <c r="D3" i="3"/>
  <c r="C4" i="21039" s="1"/>
  <c r="C50" s="1"/>
  <c r="E3" i="3"/>
  <c r="D4" i="21039" s="1"/>
  <c r="D50" s="1"/>
  <c r="F3" i="3"/>
  <c r="E4" i="21039" s="1"/>
  <c r="E50" s="1"/>
  <c r="G3" i="3"/>
  <c r="F4" i="21039" s="1"/>
  <c r="F50" s="1"/>
  <c r="H3" i="3"/>
  <c r="G4" i="21039" s="1"/>
  <c r="G50" s="1"/>
  <c r="I3" i="3"/>
  <c r="H4" i="21039" s="1"/>
  <c r="H50" s="1"/>
  <c r="J3" i="3"/>
  <c r="I4" i="21039" s="1"/>
  <c r="I50" s="1"/>
  <c r="K3" i="3"/>
  <c r="J4" i="21039" s="1"/>
  <c r="J50" s="1"/>
  <c r="L3" i="3"/>
  <c r="K4" i="21039" s="1"/>
  <c r="K50" s="1"/>
  <c r="M3" i="3"/>
  <c r="L4" i="21039" s="1"/>
  <c r="L50" s="1"/>
  <c r="N3" i="3"/>
  <c r="O3"/>
  <c r="N4" i="21039" s="1"/>
  <c r="N50" s="1"/>
  <c r="P3" i="3"/>
  <c r="O4" i="21039" s="1"/>
  <c r="O50" s="1"/>
  <c r="Q3" i="3"/>
  <c r="P4" i="21039" s="1"/>
  <c r="P50" s="1"/>
  <c r="R3" i="3"/>
  <c r="Q4" i="21039" s="1"/>
  <c r="Q50" s="1"/>
  <c r="S3" i="3"/>
  <c r="R4" i="21039" s="1"/>
  <c r="R50" s="1"/>
  <c r="T3" i="3"/>
  <c r="S4" i="21039" s="1"/>
  <c r="S50" s="1"/>
  <c r="U3" i="3"/>
  <c r="T4" i="21039" s="1"/>
  <c r="T50" s="1"/>
  <c r="V3" i="3"/>
  <c r="U4" i="21039" s="1"/>
  <c r="U50" s="1"/>
  <c r="W3" i="3"/>
  <c r="V4" i="21039" s="1"/>
  <c r="V50" s="1"/>
  <c r="X3" i="3"/>
  <c r="W4" i="21039" s="1"/>
  <c r="W50" s="1"/>
  <c r="Y3" i="3"/>
  <c r="X4" i="21039" s="1"/>
  <c r="X50" s="1"/>
  <c r="Z3" i="3"/>
  <c r="Y4" i="21039" s="1"/>
  <c r="Y50" s="1"/>
  <c r="AA3" i="3"/>
  <c r="Z4" i="21039" s="1"/>
  <c r="Z50" s="1"/>
  <c r="AB3" i="3"/>
  <c r="AA4" i="21039" s="1"/>
  <c r="AA50" s="1"/>
  <c r="AC3" i="3"/>
  <c r="AB4" i="21039" s="1"/>
  <c r="AB50" s="1"/>
  <c r="AD3" i="3"/>
  <c r="AC4" i="21039" s="1"/>
  <c r="AC50" s="1"/>
  <c r="AE3" i="3"/>
  <c r="AD4" i="21039" s="1"/>
  <c r="AD50" s="1"/>
  <c r="AF3" i="3"/>
  <c r="AE4" i="21039" s="1"/>
  <c r="AE50" s="1"/>
  <c r="AG3" i="3"/>
  <c r="AF4" i="21039" s="1"/>
  <c r="AF50" s="1"/>
  <c r="AH3" i="3"/>
  <c r="AG4" i="21039" s="1"/>
  <c r="AG50" s="1"/>
  <c r="AI3" i="3"/>
  <c r="AH4" i="21039" s="1"/>
  <c r="AH50" s="1"/>
  <c r="AJ3" i="3"/>
  <c r="AI4" i="21039" s="1"/>
  <c r="AI50" s="1"/>
  <c r="AK3" i="3"/>
  <c r="AJ4" i="21039" s="1"/>
  <c r="AJ50" s="1"/>
  <c r="AL3" i="3"/>
  <c r="AK4" i="21039" s="1"/>
  <c r="AK50" s="1"/>
  <c r="AM3" i="3"/>
  <c r="AL4" i="21039" s="1"/>
  <c r="AL50" s="1"/>
  <c r="AN3" i="3"/>
  <c r="AM4" i="21039" s="1"/>
  <c r="AM50" s="1"/>
  <c r="AO3" i="3"/>
  <c r="AN4" i="21039" s="1"/>
  <c r="AN50" s="1"/>
  <c r="AP3" i="3"/>
  <c r="AO4" i="21039" s="1"/>
  <c r="AO50" s="1"/>
  <c r="AQ3" i="3"/>
  <c r="AP4" i="21039" s="1"/>
  <c r="AP50" s="1"/>
  <c r="AR3" i="3"/>
  <c r="AQ4" i="21039" s="1"/>
  <c r="AQ50" s="1"/>
  <c r="AS3" i="3"/>
  <c r="AR4" i="21039" s="1"/>
  <c r="AR50" s="1"/>
  <c r="AT3" i="3"/>
  <c r="AS4" i="21039" s="1"/>
  <c r="AS50" s="1"/>
  <c r="AU3" i="3"/>
  <c r="AT4" i="21039" s="1"/>
  <c r="AT50" s="1"/>
  <c r="AV3" i="3"/>
  <c r="AU4" i="21039" s="1"/>
  <c r="AU50" s="1"/>
  <c r="AW3" i="3"/>
  <c r="AV4" i="21039" s="1"/>
  <c r="AV50" s="1"/>
  <c r="AX3" i="3"/>
  <c r="AW4" i="21039" s="1"/>
  <c r="AW50" s="1"/>
  <c r="AY3" i="3"/>
  <c r="AX4" i="21039" s="1"/>
  <c r="AX50" s="1"/>
  <c r="AZ3" i="3"/>
  <c r="AY4" i="21039" s="1"/>
  <c r="AY50" s="1"/>
  <c r="BA3" i="3"/>
  <c r="AZ4" i="21039" s="1"/>
  <c r="AZ50" s="1"/>
  <c r="BB3" i="3"/>
  <c r="BA4" i="21039" s="1"/>
  <c r="BA50" s="1"/>
  <c r="BC3" i="3"/>
  <c r="BB4" i="21039" s="1"/>
  <c r="BB50" s="1"/>
  <c r="BD3" i="3"/>
  <c r="BC4" i="21039" s="1"/>
  <c r="BC50" s="1"/>
  <c r="BE3" i="3"/>
  <c r="BD4" i="21039" s="1"/>
  <c r="BD50" s="1"/>
  <c r="BF3" i="3"/>
  <c r="BE4" i="21039" s="1"/>
  <c r="BE50" s="1"/>
  <c r="BG3" i="3"/>
  <c r="BF4" i="21039" s="1"/>
  <c r="BF50" s="1"/>
  <c r="BH3" i="3"/>
  <c r="BG4" i="21039" s="1"/>
  <c r="BG50" s="1"/>
  <c r="BI3" i="3"/>
  <c r="BH4" i="21039" s="1"/>
  <c r="BH50" s="1"/>
  <c r="BJ3" i="3"/>
  <c r="BI4" i="21039" s="1"/>
  <c r="BI50" s="1"/>
  <c r="BK3" i="3"/>
  <c r="BJ4" i="21039" s="1"/>
  <c r="BJ50" s="1"/>
  <c r="BM3" i="3"/>
  <c r="BL4" i="21039" s="1"/>
  <c r="BL50" s="1"/>
  <c r="BN3" i="3"/>
  <c r="BM4" i="21039" s="1"/>
  <c r="BM50" s="1"/>
  <c r="BO3" i="3"/>
  <c r="BO4" i="21039" s="1"/>
  <c r="BO50" s="1"/>
  <c r="D4" i="3"/>
  <c r="C5" i="21039" s="1"/>
  <c r="C51" s="1"/>
  <c r="E4" i="3"/>
  <c r="D5" i="21039" s="1"/>
  <c r="D51" s="1"/>
  <c r="F4" i="3"/>
  <c r="E5" i="21039" s="1"/>
  <c r="E51" s="1"/>
  <c r="G4" i="3"/>
  <c r="F5" i="21039" s="1"/>
  <c r="F51" s="1"/>
  <c r="H4" i="3"/>
  <c r="G5" i="21039" s="1"/>
  <c r="G51" s="1"/>
  <c r="I4" i="3"/>
  <c r="H5" i="21039" s="1"/>
  <c r="H51" s="1"/>
  <c r="J4" i="3"/>
  <c r="I5" i="21039" s="1"/>
  <c r="I51" s="1"/>
  <c r="K4" i="3"/>
  <c r="J5" i="21039" s="1"/>
  <c r="J51" s="1"/>
  <c r="L4" i="3"/>
  <c r="K5" i="21039" s="1"/>
  <c r="K51" s="1"/>
  <c r="M4" i="3"/>
  <c r="L5" i="21039" s="1"/>
  <c r="L51" s="1"/>
  <c r="N4" i="3"/>
  <c r="M5" i="21039" s="1"/>
  <c r="M51" s="1"/>
  <c r="O4" i="3"/>
  <c r="N5" i="21039" s="1"/>
  <c r="N51" s="1"/>
  <c r="P4" i="3"/>
  <c r="O5" i="21039" s="1"/>
  <c r="O51" s="1"/>
  <c r="Q4" i="3"/>
  <c r="P5" i="21039" s="1"/>
  <c r="P51" s="1"/>
  <c r="R4" i="3"/>
  <c r="Q5" i="21039" s="1"/>
  <c r="Q51" s="1"/>
  <c r="S4" i="3"/>
  <c r="R5" i="21039" s="1"/>
  <c r="R51" s="1"/>
  <c r="T4" i="3"/>
  <c r="S5" i="21039" s="1"/>
  <c r="S51" s="1"/>
  <c r="BI4" i="3"/>
  <c r="BH5" i="21039" s="1"/>
  <c r="BH51" s="1"/>
  <c r="BJ4" i="3"/>
  <c r="BI5" i="21039" s="1"/>
  <c r="BI51" s="1"/>
  <c r="BK4" i="3"/>
  <c r="BJ5" i="21039" s="1"/>
  <c r="BJ51" s="1"/>
  <c r="BL4" i="3"/>
  <c r="BK5" i="21039" s="1"/>
  <c r="BK51" s="1"/>
  <c r="BM4" i="3"/>
  <c r="BL5" i="21039" s="1"/>
  <c r="BL51" s="1"/>
  <c r="BN4" i="3"/>
  <c r="BM5" i="21039" s="1"/>
  <c r="BM51" s="1"/>
  <c r="BN5"/>
  <c r="BN51" s="1"/>
  <c r="BO4" i="3"/>
  <c r="BO5" i="21039" s="1"/>
  <c r="BO51" s="1"/>
  <c r="BP4" i="3"/>
  <c r="BR5" i="21039" s="1"/>
  <c r="BT5" i="3"/>
  <c r="BT6"/>
  <c r="BT9"/>
  <c r="E58" i="1" s="1"/>
  <c r="G58" s="1"/>
  <c r="BT10" i="3"/>
  <c r="BT11"/>
  <c r="E60" i="1" s="1"/>
  <c r="BT12" i="3"/>
  <c r="E61" i="1" s="1"/>
  <c r="G61" s="1"/>
  <c r="BT14" i="3"/>
  <c r="E63" i="1" s="1"/>
  <c r="BT15" i="3"/>
  <c r="E64" i="1" s="1"/>
  <c r="G64" s="1"/>
  <c r="BT16" i="3"/>
  <c r="E65" i="1" s="1"/>
  <c r="G65" s="1"/>
  <c r="BT17" i="3"/>
  <c r="BT18"/>
  <c r="BT19"/>
  <c r="BT20"/>
  <c r="C71" i="1" s="1"/>
  <c r="BT21" i="3"/>
  <c r="C72" i="1" s="1"/>
  <c r="BT22" i="3"/>
  <c r="BT23"/>
  <c r="C74" i="1" s="1"/>
  <c r="BT24" i="3"/>
  <c r="BT25"/>
  <c r="BT28"/>
  <c r="BT29"/>
  <c r="BT30"/>
  <c r="BT31"/>
  <c r="BT32"/>
  <c r="BT33"/>
  <c r="BT34"/>
  <c r="BT35"/>
  <c r="E84" i="1" s="1"/>
  <c r="G84" s="1"/>
  <c r="BT36" i="3"/>
  <c r="G85" i="1" s="1"/>
  <c r="BT37" i="3"/>
  <c r="E86" i="1" s="1"/>
  <c r="G86" s="1"/>
  <c r="BT38" i="3"/>
  <c r="E87" i="1" s="1"/>
  <c r="G87" s="1"/>
  <c r="BT39" i="3"/>
  <c r="E88" i="1" s="1"/>
  <c r="G88" s="1"/>
  <c r="BT41" i="3"/>
  <c r="E90" i="1" s="1"/>
  <c r="G90" s="1"/>
  <c r="BT42" i="3"/>
  <c r="E91" i="1" s="1"/>
  <c r="G91" s="1"/>
  <c r="BT43" i="3"/>
  <c r="BT44"/>
  <c r="G95" i="1"/>
  <c r="G96"/>
  <c r="G98"/>
  <c r="BT45" i="3"/>
  <c r="BT46"/>
  <c r="BT47"/>
  <c r="BT48"/>
  <c r="BT49"/>
  <c r="BT50"/>
  <c r="BT51"/>
  <c r="BT52"/>
  <c r="BT53"/>
  <c r="BT54"/>
  <c r="BT55"/>
  <c r="BF56"/>
  <c r="BG56"/>
  <c r="BH56"/>
  <c r="BI56"/>
  <c r="BJ56"/>
  <c r="BK56"/>
  <c r="BL56"/>
  <c r="BM56"/>
  <c r="BN56"/>
  <c r="BO56"/>
  <c r="BP56"/>
  <c r="AI59"/>
  <c r="A1" i="21039"/>
  <c r="BQ4"/>
  <c r="BQ50" s="1"/>
  <c r="BQ5"/>
  <c r="W41"/>
  <c r="Z41"/>
  <c r="AB41"/>
  <c r="AC41"/>
  <c r="AC82"/>
  <c r="K58" i="2" s="1"/>
  <c r="K59" s="1"/>
  <c r="AF82" i="21039"/>
  <c r="N58" i="2" s="1"/>
  <c r="N59" s="1"/>
  <c r="AG41" i="21039"/>
  <c r="AG82"/>
  <c r="AH41"/>
  <c r="AH82"/>
  <c r="P58" i="2" s="1"/>
  <c r="P59" s="1"/>
  <c r="AI41" i="21039"/>
  <c r="AJ41"/>
  <c r="AJ82"/>
  <c r="R58" i="2" s="1"/>
  <c r="R59" s="1"/>
  <c r="AK41" i="21039"/>
  <c r="AK85" s="1"/>
  <c r="AK82"/>
  <c r="S58" i="2" s="1"/>
  <c r="S59" s="1"/>
  <c r="AL41" i="21039"/>
  <c r="AM41"/>
  <c r="C99" i="2" s="1"/>
  <c r="AM82" i="21039"/>
  <c r="C94" i="2" s="1"/>
  <c r="C95" s="1"/>
  <c r="AN82" i="21039"/>
  <c r="AO82"/>
  <c r="E94" i="2" s="1"/>
  <c r="E95" s="1"/>
  <c r="AP41" i="21039"/>
  <c r="AQ41"/>
  <c r="AR82"/>
  <c r="H94" i="2" s="1"/>
  <c r="H95" s="1"/>
  <c r="AS82" i="21039"/>
  <c r="AT41"/>
  <c r="AV41"/>
  <c r="AV82"/>
  <c r="L94" i="2" s="1"/>
  <c r="L95" s="1"/>
  <c r="AW82" i="21039"/>
  <c r="M94" i="2" s="1"/>
  <c r="M95" s="1"/>
  <c r="AZ82" i="21039"/>
  <c r="P94" i="2" s="1"/>
  <c r="BA82" i="21039"/>
  <c r="Q94" i="2" s="1"/>
  <c r="Q95" s="1"/>
  <c r="BC41" i="21039"/>
  <c r="BE41"/>
  <c r="BE82"/>
  <c r="BF41"/>
  <c r="BG41"/>
  <c r="BH41"/>
  <c r="BH82"/>
  <c r="BI41"/>
  <c r="BI82"/>
  <c r="BJ41"/>
  <c r="BK41"/>
  <c r="BL41"/>
  <c r="BL82"/>
  <c r="BM41"/>
  <c r="BM82"/>
  <c r="BN41"/>
  <c r="BO41"/>
  <c r="BP41"/>
  <c r="BP82"/>
  <c r="BQ41"/>
  <c r="BQ82"/>
  <c r="BR41"/>
  <c r="BR43"/>
  <c r="BR44"/>
  <c r="BT45"/>
  <c r="BT46"/>
  <c r="BT47"/>
  <c r="B48"/>
  <c r="C48"/>
  <c r="D48"/>
  <c r="E48"/>
  <c r="E27" i="2" s="1"/>
  <c r="F48" i="21039"/>
  <c r="G48"/>
  <c r="G27" i="2" s="1"/>
  <c r="H48" i="21039"/>
  <c r="I48"/>
  <c r="I27" i="2" s="1"/>
  <c r="J48" i="21039"/>
  <c r="K48"/>
  <c r="L48"/>
  <c r="M48"/>
  <c r="N48"/>
  <c r="N27" i="2" s="1"/>
  <c r="O48" i="21039"/>
  <c r="P48"/>
  <c r="Q48"/>
  <c r="R48"/>
  <c r="S48"/>
  <c r="T48"/>
  <c r="U48"/>
  <c r="V48"/>
  <c r="D63" i="2" s="1"/>
  <c r="W48" i="21039"/>
  <c r="W82"/>
  <c r="E58" i="2" s="1"/>
  <c r="E59" s="1"/>
  <c r="X48" i="21039"/>
  <c r="Y48"/>
  <c r="Z48"/>
  <c r="AA48"/>
  <c r="AB48"/>
  <c r="AC48"/>
  <c r="K63" i="2" s="1"/>
  <c r="AD48" i="21039"/>
  <c r="AE48"/>
  <c r="AF48"/>
  <c r="AG48"/>
  <c r="AH48"/>
  <c r="AH85" s="1"/>
  <c r="AI48"/>
  <c r="AI82"/>
  <c r="Q58" i="2" s="1"/>
  <c r="Q59" s="1"/>
  <c r="AJ48" i="21039"/>
  <c r="AK48"/>
  <c r="AL48"/>
  <c r="AM48"/>
  <c r="AN48"/>
  <c r="AO48"/>
  <c r="AP48"/>
  <c r="AQ48"/>
  <c r="AQ82"/>
  <c r="G94" i="2" s="1"/>
  <c r="G95" s="1"/>
  <c r="AR48" i="21039"/>
  <c r="AS48"/>
  <c r="AT48"/>
  <c r="AU48"/>
  <c r="AU82"/>
  <c r="K94" i="2" s="1"/>
  <c r="K95" s="1"/>
  <c r="AV48" i="21039"/>
  <c r="AW48"/>
  <c r="AX48"/>
  <c r="N99" i="2" s="1"/>
  <c r="AY48" i="21039"/>
  <c r="AY82"/>
  <c r="O94" i="2" s="1"/>
  <c r="O95" s="1"/>
  <c r="AZ48" i="21039"/>
  <c r="BA48"/>
  <c r="BB48"/>
  <c r="BC48"/>
  <c r="BC82"/>
  <c r="BD48"/>
  <c r="BD85" s="1"/>
  <c r="BE48"/>
  <c r="BF48"/>
  <c r="BG48"/>
  <c r="BG82"/>
  <c r="BH48"/>
  <c r="BI48"/>
  <c r="BJ48"/>
  <c r="BK48"/>
  <c r="BK82"/>
  <c r="BL48"/>
  <c r="BM48"/>
  <c r="BN48"/>
  <c r="BO48"/>
  <c r="BO82"/>
  <c r="BP48"/>
  <c r="BQ48"/>
  <c r="BR48"/>
  <c r="L84" i="1"/>
  <c r="L85"/>
  <c r="L86"/>
  <c r="B28" i="2"/>
  <c r="D28"/>
  <c r="E28"/>
  <c r="F28"/>
  <c r="G28"/>
  <c r="H28"/>
  <c r="I28"/>
  <c r="J28"/>
  <c r="K28"/>
  <c r="L28"/>
  <c r="M28"/>
  <c r="N28"/>
  <c r="O28"/>
  <c r="P28"/>
  <c r="Q28"/>
  <c r="R28"/>
  <c r="S28"/>
  <c r="B64"/>
  <c r="C64"/>
  <c r="D64"/>
  <c r="E64"/>
  <c r="H64"/>
  <c r="J64"/>
  <c r="K64"/>
  <c r="L64"/>
  <c r="M64"/>
  <c r="N64"/>
  <c r="O64"/>
  <c r="Q64"/>
  <c r="R64"/>
  <c r="S64"/>
  <c r="C100"/>
  <c r="D100"/>
  <c r="E100"/>
  <c r="F100"/>
  <c r="G100"/>
  <c r="H100"/>
  <c r="I100"/>
  <c r="K100"/>
  <c r="L100"/>
  <c r="M100"/>
  <c r="N100"/>
  <c r="O100"/>
  <c r="P100"/>
  <c r="Q100"/>
  <c r="R100"/>
  <c r="S100"/>
  <c r="B136"/>
  <c r="BE85" i="21039"/>
  <c r="Z82"/>
  <c r="H58" i="2" s="1"/>
  <c r="H59" s="1"/>
  <c r="AB82" i="21039"/>
  <c r="AL82"/>
  <c r="AP82"/>
  <c r="F94" i="2" s="1"/>
  <c r="F95" s="1"/>
  <c r="AT82" i="21039"/>
  <c r="J94" i="2" s="1"/>
  <c r="J95" s="1"/>
  <c r="AX82" i="21039"/>
  <c r="N94" i="2" s="1"/>
  <c r="BB82" i="21039"/>
  <c r="R94" i="2" s="1"/>
  <c r="R95" s="1"/>
  <c r="BF82" i="21039"/>
  <c r="BJ82"/>
  <c r="BN82"/>
  <c r="BR82"/>
  <c r="A1" i="40"/>
  <c r="A5"/>
  <c r="K16"/>
  <c r="B27" i="1" s="1"/>
  <c r="K17" i="40"/>
  <c r="B30" i="1" s="1"/>
  <c r="C18" i="40"/>
  <c r="D18"/>
  <c r="E18"/>
  <c r="E19" s="1"/>
  <c r="E20" s="1"/>
  <c r="F18"/>
  <c r="F19" s="1"/>
  <c r="F20" s="1"/>
  <c r="G18"/>
  <c r="G19" s="1"/>
  <c r="G20" s="1"/>
  <c r="H18"/>
  <c r="H19" s="1"/>
  <c r="H20" s="1"/>
  <c r="I18"/>
  <c r="I19" s="1"/>
  <c r="I20" s="1"/>
  <c r="J20"/>
  <c r="C52"/>
  <c r="B60"/>
  <c r="C60"/>
  <c r="D60"/>
  <c r="E60"/>
  <c r="F60"/>
  <c r="G60"/>
  <c r="T16" i="1" s="1"/>
  <c r="C80" i="40"/>
  <c r="D80"/>
  <c r="E80"/>
  <c r="F80"/>
  <c r="A4" i="1"/>
  <c r="A5"/>
  <c r="A8"/>
  <c r="G6"/>
  <c r="I9"/>
  <c r="D25"/>
  <c r="D26"/>
  <c r="Q26"/>
  <c r="D27"/>
  <c r="I25"/>
  <c r="K25" s="1"/>
  <c r="D28"/>
  <c r="I28"/>
  <c r="K28" s="1"/>
  <c r="D31"/>
  <c r="K43"/>
  <c r="L43" s="1"/>
  <c r="D47"/>
  <c r="D49"/>
  <c r="E56"/>
  <c r="G56" s="1"/>
  <c r="L57"/>
  <c r="H59"/>
  <c r="H60"/>
  <c r="H61"/>
  <c r="H62"/>
  <c r="H63"/>
  <c r="H64"/>
  <c r="W63"/>
  <c r="X63"/>
  <c r="Y63"/>
  <c r="H65"/>
  <c r="G100"/>
  <c r="B17" i="2"/>
  <c r="C17"/>
  <c r="D17"/>
  <c r="E17"/>
  <c r="F17"/>
  <c r="G17"/>
  <c r="H17"/>
  <c r="I17"/>
  <c r="T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B36"/>
  <c r="C36"/>
  <c r="E36"/>
  <c r="E37"/>
  <c r="F36"/>
  <c r="G36"/>
  <c r="H36"/>
  <c r="H37"/>
  <c r="I36"/>
  <c r="J36"/>
  <c r="K36"/>
  <c r="L36"/>
  <c r="M36"/>
  <c r="N36"/>
  <c r="N37"/>
  <c r="O36"/>
  <c r="P36"/>
  <c r="Q36"/>
  <c r="Q37"/>
  <c r="R36"/>
  <c r="S36"/>
  <c r="B37"/>
  <c r="D37"/>
  <c r="F37"/>
  <c r="G37"/>
  <c r="I37"/>
  <c r="J37"/>
  <c r="K37"/>
  <c r="M37"/>
  <c r="O37"/>
  <c r="P37"/>
  <c r="R37"/>
  <c r="S37"/>
  <c r="B53"/>
  <c r="C53"/>
  <c r="D53"/>
  <c r="E53"/>
  <c r="H53"/>
  <c r="J53"/>
  <c r="K53"/>
  <c r="N53"/>
  <c r="O53"/>
  <c r="P53"/>
  <c r="Q53"/>
  <c r="S53"/>
  <c r="T70"/>
  <c r="U70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B72"/>
  <c r="C72"/>
  <c r="C73"/>
  <c r="D72"/>
  <c r="E72"/>
  <c r="F72"/>
  <c r="G72"/>
  <c r="G73"/>
  <c r="H72"/>
  <c r="I72"/>
  <c r="J72"/>
  <c r="J73"/>
  <c r="K72"/>
  <c r="L72"/>
  <c r="M72"/>
  <c r="M73"/>
  <c r="N72"/>
  <c r="N73"/>
  <c r="O72"/>
  <c r="P72"/>
  <c r="Q72"/>
  <c r="Q73"/>
  <c r="R72"/>
  <c r="S72"/>
  <c r="S73"/>
  <c r="B73"/>
  <c r="D73"/>
  <c r="E73"/>
  <c r="F73"/>
  <c r="H73"/>
  <c r="I73"/>
  <c r="K73"/>
  <c r="L73"/>
  <c r="O73"/>
  <c r="P73"/>
  <c r="R73"/>
  <c r="C89"/>
  <c r="F89"/>
  <c r="G89"/>
  <c r="J89"/>
  <c r="L89"/>
  <c r="S89"/>
  <c r="B95"/>
  <c r="T106"/>
  <c r="U106"/>
  <c r="B107"/>
  <c r="C107"/>
  <c r="D107"/>
  <c r="H107"/>
  <c r="J107"/>
  <c r="K107"/>
  <c r="N107"/>
  <c r="O107"/>
  <c r="P107"/>
  <c r="Q107"/>
  <c r="R107"/>
  <c r="S107"/>
  <c r="B108"/>
  <c r="C108"/>
  <c r="D108"/>
  <c r="B109"/>
  <c r="C109"/>
  <c r="D109"/>
  <c r="BL3" i="3"/>
  <c r="BK4" i="21039" s="1"/>
  <c r="BK50" s="1"/>
  <c r="N143" i="2"/>
  <c r="R145"/>
  <c r="U115"/>
  <c r="C16" i="1" s="1"/>
  <c r="I15" s="1"/>
  <c r="U116" i="2"/>
  <c r="C17" i="1" s="1"/>
  <c r="U122" i="2"/>
  <c r="B24" i="1" s="1"/>
  <c r="U123" i="2"/>
  <c r="B25" i="1" s="1"/>
  <c r="B125" i="2"/>
  <c r="C125"/>
  <c r="D125"/>
  <c r="E125"/>
  <c r="U127"/>
  <c r="B36" i="1" s="1"/>
  <c r="U128" i="2"/>
  <c r="B37" i="1" s="1"/>
  <c r="U129" i="2"/>
  <c r="B38" i="1" s="1"/>
  <c r="C131" i="2"/>
  <c r="D131"/>
  <c r="E131"/>
  <c r="U132"/>
  <c r="B41" i="1" s="1"/>
  <c r="B42" s="1"/>
  <c r="B143" i="2"/>
  <c r="C143"/>
  <c r="D143"/>
  <c r="E143"/>
  <c r="F143"/>
  <c r="H143"/>
  <c r="I143"/>
  <c r="J143"/>
  <c r="J144"/>
  <c r="J145"/>
  <c r="M143"/>
  <c r="M144"/>
  <c r="M145"/>
  <c r="B144"/>
  <c r="F144"/>
  <c r="H144"/>
  <c r="I144"/>
  <c r="N144"/>
  <c r="B145"/>
  <c r="F145"/>
  <c r="H145"/>
  <c r="I145"/>
  <c r="S148"/>
  <c r="S149"/>
  <c r="Q143"/>
  <c r="R143"/>
  <c r="Q144"/>
  <c r="N145"/>
  <c r="Q145"/>
  <c r="O144"/>
  <c r="O145"/>
  <c r="O143"/>
  <c r="S145"/>
  <c r="S144"/>
  <c r="S143"/>
  <c r="R144"/>
  <c r="BN43" i="21039"/>
  <c r="L37" i="2"/>
  <c r="J58"/>
  <c r="J59" s="1"/>
  <c r="AQ59" i="3"/>
  <c r="E63" i="2"/>
  <c r="K30" i="1"/>
  <c r="R53" i="2"/>
  <c r="D99"/>
  <c r="O58"/>
  <c r="O59" s="1"/>
  <c r="G58"/>
  <c r="G59" s="1"/>
  <c r="L58"/>
  <c r="L59" s="1"/>
  <c r="BM85" i="21039"/>
  <c r="H22" i="2"/>
  <c r="H23" s="1"/>
  <c r="B99"/>
  <c r="E26"/>
  <c r="G64"/>
  <c r="C4" i="3"/>
  <c r="B5" i="21039" s="1"/>
  <c r="B51" s="1"/>
  <c r="J100" i="2"/>
  <c r="H12" i="40"/>
  <c r="H13" s="1"/>
  <c r="G12"/>
  <c r="G13" s="1"/>
  <c r="D12"/>
  <c r="D13" s="1"/>
  <c r="I12"/>
  <c r="I13" s="1"/>
  <c r="H85" i="21039"/>
  <c r="L63" i="2"/>
  <c r="E12" i="40"/>
  <c r="E13" s="1"/>
  <c r="Q59" i="3"/>
  <c r="AA8" i="3356"/>
  <c r="AR85" i="21039"/>
  <c r="H98" i="2"/>
  <c r="F64"/>
  <c r="C28"/>
  <c r="K27"/>
  <c r="AS85" i="21039"/>
  <c r="F85"/>
  <c r="AW59" i="3"/>
  <c r="E66" i="1"/>
  <c r="E72"/>
  <c r="G72" s="1"/>
  <c r="T56"/>
  <c r="I94" i="2"/>
  <c r="I95" s="1"/>
  <c r="D22"/>
  <c r="D23" s="1"/>
  <c r="S94"/>
  <c r="S95" s="1"/>
  <c r="T104" i="1"/>
  <c r="S90"/>
  <c r="T89" s="1"/>
  <c r="T73"/>
  <c r="N63"/>
  <c r="S63"/>
  <c r="T94"/>
  <c r="N94"/>
  <c r="T83"/>
  <c r="N97"/>
  <c r="N92"/>
  <c r="T92"/>
  <c r="N93"/>
  <c r="T93"/>
  <c r="T96"/>
  <c r="T77"/>
  <c r="T97"/>
  <c r="T76"/>
  <c r="N96"/>
  <c r="T95"/>
  <c r="T99"/>
  <c r="N95"/>
  <c r="E78" l="1"/>
  <c r="C80"/>
  <c r="E68"/>
  <c r="C70"/>
  <c r="E70" s="1"/>
  <c r="G70" s="1"/>
  <c r="E77"/>
  <c r="G77" s="1"/>
  <c r="C79"/>
  <c r="C75"/>
  <c r="E75" s="1"/>
  <c r="G75" s="1"/>
  <c r="E71"/>
  <c r="G71" s="1"/>
  <c r="C73"/>
  <c r="E73" s="1"/>
  <c r="G73" s="1"/>
  <c r="E79"/>
  <c r="G79" s="1"/>
  <c r="T91"/>
  <c r="L85" i="21039"/>
  <c r="L90" i="1"/>
  <c r="L74"/>
  <c r="I40" s="1"/>
  <c r="M50" i="21039"/>
  <c r="E80" i="1"/>
  <c r="G80" s="1"/>
  <c r="C82"/>
  <c r="E82" s="1"/>
  <c r="G78"/>
  <c r="G63"/>
  <c r="C42" i="2"/>
  <c r="C45" s="1"/>
  <c r="C47" s="1"/>
  <c r="E74" i="1"/>
  <c r="G74" s="1"/>
  <c r="C76"/>
  <c r="E76" s="1"/>
  <c r="G76" s="1"/>
  <c r="E57"/>
  <c r="C59"/>
  <c r="E59" s="1"/>
  <c r="E81"/>
  <c r="C83"/>
  <c r="E83" s="1"/>
  <c r="L27" i="2"/>
  <c r="R99"/>
  <c r="H99"/>
  <c r="H102" s="1"/>
  <c r="H63"/>
  <c r="F27"/>
  <c r="BJ85" i="21039"/>
  <c r="BG85"/>
  <c r="AB85"/>
  <c r="BL85"/>
  <c r="BI85"/>
  <c r="BF85"/>
  <c r="AQ85"/>
  <c r="Z85"/>
  <c r="E67" i="1"/>
  <c r="T58" s="1"/>
  <c r="J85" i="21039"/>
  <c r="AE85"/>
  <c r="BT48"/>
  <c r="B47" i="1" s="1"/>
  <c r="I42" s="1"/>
  <c r="Y85" i="21039"/>
  <c r="AC85"/>
  <c r="D19" i="40"/>
  <c r="D20" s="1"/>
  <c r="AX85" i="21039"/>
  <c r="F12" i="40"/>
  <c r="F13" s="1"/>
  <c r="B20"/>
  <c r="BA85" i="21039"/>
  <c r="BQ44"/>
  <c r="BQ51"/>
  <c r="AG85"/>
  <c r="M63" i="2"/>
  <c r="I63"/>
  <c r="F63"/>
  <c r="Q99"/>
  <c r="Q102" s="1"/>
  <c r="O99"/>
  <c r="C27"/>
  <c r="M27"/>
  <c r="C20" i="40"/>
  <c r="M85" i="21039"/>
  <c r="G85"/>
  <c r="AM85"/>
  <c r="AA85"/>
  <c r="U85"/>
  <c r="O85"/>
  <c r="I21" i="1"/>
  <c r="K21" s="1"/>
  <c r="BC85" i="21039"/>
  <c r="AP85"/>
  <c r="AI85"/>
  <c r="W85"/>
  <c r="BB85"/>
  <c r="AZ85"/>
  <c r="AW85"/>
  <c r="B85"/>
  <c r="D85"/>
  <c r="AF85"/>
  <c r="B27" i="2"/>
  <c r="N63"/>
  <c r="P99"/>
  <c r="P102" s="1"/>
  <c r="X85" i="21039"/>
  <c r="B135" i="2"/>
  <c r="I99"/>
  <c r="F99"/>
  <c r="Q63"/>
  <c r="O63"/>
  <c r="J63"/>
  <c r="J66" s="1"/>
  <c r="D27"/>
  <c r="AV85" i="21039"/>
  <c r="H27" i="2"/>
  <c r="P27"/>
  <c r="P31" s="1"/>
  <c r="P18" s="1"/>
  <c r="R27"/>
  <c r="S99"/>
  <c r="P63"/>
  <c r="M99"/>
  <c r="M102" s="1"/>
  <c r="O27"/>
  <c r="O30" s="1"/>
  <c r="Q27"/>
  <c r="S27"/>
  <c r="S30" s="1"/>
  <c r="S59" i="3"/>
  <c r="R26" i="2"/>
  <c r="R30" s="1"/>
  <c r="R59" i="3"/>
  <c r="R66" s="1"/>
  <c r="Q26" i="2"/>
  <c r="T72" i="1"/>
  <c r="J47"/>
  <c r="T62"/>
  <c r="AD85" i="21039"/>
  <c r="V85"/>
  <c r="AN85"/>
  <c r="D94" i="2"/>
  <c r="D95" s="1"/>
  <c r="AU85" i="21039"/>
  <c r="Q85"/>
  <c r="M146" i="2"/>
  <c r="N146"/>
  <c r="BT82" i="21039"/>
  <c r="P85"/>
  <c r="P74" i="2"/>
  <c r="S38"/>
  <c r="M74"/>
  <c r="M38"/>
  <c r="E138"/>
  <c r="D138"/>
  <c r="K110"/>
  <c r="K97" s="1"/>
  <c r="P38"/>
  <c r="N85" i="21039"/>
  <c r="E85"/>
  <c r="D74" i="2"/>
  <c r="F38"/>
  <c r="BP85" i="21039"/>
  <c r="C63" i="2"/>
  <c r="G71" i="3356"/>
  <c r="G72" s="1"/>
  <c r="G73" s="1"/>
  <c r="AA72" s="1"/>
  <c r="D71"/>
  <c r="D72" s="1"/>
  <c r="D73" s="1"/>
  <c r="F71"/>
  <c r="F72" s="1"/>
  <c r="F73" s="1"/>
  <c r="B63" i="2"/>
  <c r="B66" s="1"/>
  <c r="G110"/>
  <c r="G97" s="1"/>
  <c r="L110"/>
  <c r="L97" s="1"/>
  <c r="P110"/>
  <c r="P97" s="1"/>
  <c r="R110"/>
  <c r="R97" s="1"/>
  <c r="U125"/>
  <c r="Q29" i="1"/>
  <c r="E38" i="2"/>
  <c r="L38"/>
  <c r="T85" i="21039"/>
  <c r="D110" i="2"/>
  <c r="D97" s="1"/>
  <c r="K38"/>
  <c r="BT59" i="3"/>
  <c r="R38" i="2"/>
  <c r="B110"/>
  <c r="S74"/>
  <c r="F110"/>
  <c r="F97" s="1"/>
  <c r="I85" i="21039"/>
  <c r="I38" i="2"/>
  <c r="N74"/>
  <c r="I110"/>
  <c r="I97" s="1"/>
  <c r="B38"/>
  <c r="J99"/>
  <c r="C71" i="3356"/>
  <c r="C72" s="1"/>
  <c r="C73" s="1"/>
  <c r="K18" i="40"/>
  <c r="C12"/>
  <c r="C13" s="1"/>
  <c r="BQ85" i="21039"/>
  <c r="L99" i="2"/>
  <c r="G99"/>
  <c r="S63"/>
  <c r="S66" s="1"/>
  <c r="BT41" i="21039"/>
  <c r="B45" i="1" s="1"/>
  <c r="I64" i="2"/>
  <c r="C85" i="21039"/>
  <c r="AJ85"/>
  <c r="Q38" i="2"/>
  <c r="N38"/>
  <c r="BO85" i="21039"/>
  <c r="BK85"/>
  <c r="BH85"/>
  <c r="K85"/>
  <c r="M110" i="2"/>
  <c r="M97" s="1"/>
  <c r="M103" s="1"/>
  <c r="BO59" i="3"/>
  <c r="BO66" s="1"/>
  <c r="BN59"/>
  <c r="BN66" s="1"/>
  <c r="BL59"/>
  <c r="BL66" s="1"/>
  <c r="BJ59"/>
  <c r="BJ66" s="1"/>
  <c r="BH59"/>
  <c r="BH66" s="1"/>
  <c r="BF59"/>
  <c r="BF66" s="1"/>
  <c r="B134" i="2"/>
  <c r="BE66" i="3"/>
  <c r="R98" i="2"/>
  <c r="R102" s="1"/>
  <c r="BC66" i="3"/>
  <c r="BA59"/>
  <c r="BA66" s="1"/>
  <c r="N98" i="2"/>
  <c r="N102" s="1"/>
  <c r="AY66" i="3"/>
  <c r="L98" i="2"/>
  <c r="AW66" i="3"/>
  <c r="J98" i="2"/>
  <c r="AU66" i="3"/>
  <c r="AS59"/>
  <c r="AS66" s="1"/>
  <c r="F98" i="2"/>
  <c r="F102" s="1"/>
  <c r="AQ66" i="3"/>
  <c r="D98" i="2"/>
  <c r="D102" s="1"/>
  <c r="AO66" i="3"/>
  <c r="B98" i="2"/>
  <c r="AM66" i="3"/>
  <c r="AK59"/>
  <c r="AK66" s="1"/>
  <c r="P62" i="2"/>
  <c r="AI66" i="3"/>
  <c r="AG59"/>
  <c r="AG66" s="1"/>
  <c r="L62" i="2"/>
  <c r="L66" s="1"/>
  <c r="AE66" i="3"/>
  <c r="AC59"/>
  <c r="AC66" s="1"/>
  <c r="H62" i="2"/>
  <c r="AA66" i="3"/>
  <c r="F62" i="2"/>
  <c r="Y66" i="3"/>
  <c r="D62" i="2"/>
  <c r="W66" i="3"/>
  <c r="U59"/>
  <c r="U66" s="1"/>
  <c r="C26" i="2"/>
  <c r="D66" i="3"/>
  <c r="J26" i="2"/>
  <c r="J31" s="1"/>
  <c r="J18" s="1"/>
  <c r="K66" i="3"/>
  <c r="L26" i="2"/>
  <c r="M66" i="3"/>
  <c r="N26" i="2"/>
  <c r="N30" s="1"/>
  <c r="O66" i="3"/>
  <c r="Q66"/>
  <c r="S66"/>
  <c r="BP59"/>
  <c r="BP66" s="1"/>
  <c r="BM59"/>
  <c r="BM66" s="1"/>
  <c r="BK59"/>
  <c r="BK66" s="1"/>
  <c r="BI59"/>
  <c r="BI66" s="1"/>
  <c r="BG59"/>
  <c r="BG66" s="1"/>
  <c r="S98" i="2"/>
  <c r="S102" s="1"/>
  <c r="BD66" i="3"/>
  <c r="BB59"/>
  <c r="BB66" s="1"/>
  <c r="O98" i="2"/>
  <c r="AZ66" i="3"/>
  <c r="AX59"/>
  <c r="AX66" s="1"/>
  <c r="K98" i="2"/>
  <c r="K102" s="1"/>
  <c r="AV66" i="3"/>
  <c r="I98" i="2"/>
  <c r="I102" s="1"/>
  <c r="AT66" i="3"/>
  <c r="G98" i="2"/>
  <c r="AR66" i="3"/>
  <c r="E98" i="2"/>
  <c r="AP66" i="3"/>
  <c r="AN59"/>
  <c r="AN66" s="1"/>
  <c r="AL59"/>
  <c r="AL66" s="1"/>
  <c r="Q62" i="2"/>
  <c r="AJ66" i="3"/>
  <c r="O62" i="2"/>
  <c r="AH66" i="3"/>
  <c r="M62" i="2"/>
  <c r="AF66" i="3"/>
  <c r="AD59"/>
  <c r="AD66" s="1"/>
  <c r="I62" i="2"/>
  <c r="AB66" i="3"/>
  <c r="G62" i="2"/>
  <c r="Z66" i="3"/>
  <c r="E62" i="2"/>
  <c r="X66" i="3"/>
  <c r="C62" i="2"/>
  <c r="V66" i="3"/>
  <c r="D26" i="2"/>
  <c r="E66" i="3"/>
  <c r="B26" i="2"/>
  <c r="C66" i="3"/>
  <c r="I26" i="2"/>
  <c r="I31" s="1"/>
  <c r="I18" s="1"/>
  <c r="J66" i="3"/>
  <c r="K26" i="2"/>
  <c r="K31" s="1"/>
  <c r="K18" s="1"/>
  <c r="L66" i="3"/>
  <c r="M26" i="2"/>
  <c r="N66" i="3"/>
  <c r="P59"/>
  <c r="P66" s="1"/>
  <c r="T59"/>
  <c r="T66" s="1"/>
  <c r="Q74" i="2"/>
  <c r="F59" i="3"/>
  <c r="F66" s="1"/>
  <c r="F26" i="2"/>
  <c r="G66" i="3"/>
  <c r="H59"/>
  <c r="H66" s="1"/>
  <c r="T60" i="1"/>
  <c r="H26" i="2"/>
  <c r="I66" i="3"/>
  <c r="S146" i="2"/>
  <c r="O146"/>
  <c r="H146"/>
  <c r="J146"/>
  <c r="R146"/>
  <c r="AL85" i="21039"/>
  <c r="BN85"/>
  <c r="AO85"/>
  <c r="AY85"/>
  <c r="S85"/>
  <c r="T57" i="1"/>
  <c r="R74" i="2"/>
  <c r="Q146"/>
  <c r="I146"/>
  <c r="F146"/>
  <c r="C146"/>
  <c r="C133" s="1"/>
  <c r="C139" s="1"/>
  <c r="BR4" i="21039"/>
  <c r="E99" i="2"/>
  <c r="E110"/>
  <c r="E97" s="1"/>
  <c r="R63"/>
  <c r="U143"/>
  <c r="C110"/>
  <c r="C97" s="1"/>
  <c r="C103" s="1"/>
  <c r="O74"/>
  <c r="I74"/>
  <c r="C74"/>
  <c r="H38"/>
  <c r="B146"/>
  <c r="G74"/>
  <c r="K74"/>
  <c r="H74"/>
  <c r="E74"/>
  <c r="B74"/>
  <c r="J38"/>
  <c r="E30"/>
  <c r="E146"/>
  <c r="E133" s="1"/>
  <c r="E139" s="1"/>
  <c r="D146"/>
  <c r="D133" s="1"/>
  <c r="D139" s="1"/>
  <c r="L74"/>
  <c r="F74"/>
  <c r="BQ43" i="21039"/>
  <c r="J74" i="2"/>
  <c r="O38"/>
  <c r="C138"/>
  <c r="H110"/>
  <c r="H97" s="1"/>
  <c r="H103" s="1"/>
  <c r="J110"/>
  <c r="J97" s="1"/>
  <c r="Q110"/>
  <c r="Q97" s="1"/>
  <c r="Q103" s="1"/>
  <c r="S110"/>
  <c r="S97" s="1"/>
  <c r="N66"/>
  <c r="N110"/>
  <c r="N97" s="1"/>
  <c r="B31" i="1"/>
  <c r="D4" s="1"/>
  <c r="BT56" i="3"/>
  <c r="G26" i="2"/>
  <c r="G30" s="1"/>
  <c r="G38"/>
  <c r="K44" i="21039"/>
  <c r="M44"/>
  <c r="E44"/>
  <c r="BJ43"/>
  <c r="BH43"/>
  <c r="B44"/>
  <c r="E31" i="2"/>
  <c r="E18" s="1"/>
  <c r="C102"/>
  <c r="C44" i="21039"/>
  <c r="K66" i="2"/>
  <c r="BP5" i="21039"/>
  <c r="BP51" s="1"/>
  <c r="U4" i="3"/>
  <c r="T5" i="21039" s="1"/>
  <c r="T51" s="1"/>
  <c r="BL44"/>
  <c r="BH44"/>
  <c r="F44"/>
  <c r="BI43"/>
  <c r="BM44"/>
  <c r="BI44"/>
  <c r="Q44"/>
  <c r="D44"/>
  <c r="AA6" i="3356"/>
  <c r="AA41"/>
  <c r="P95" i="2"/>
  <c r="BJ44" i="21039"/>
  <c r="R44"/>
  <c r="N44"/>
  <c r="BO43"/>
  <c r="B23" i="2"/>
  <c r="U130"/>
  <c r="B39" i="1" s="1"/>
  <c r="N95" i="2"/>
  <c r="BK44" i="21039"/>
  <c r="S44"/>
  <c r="L44"/>
  <c r="BL43"/>
  <c r="Q27" i="1"/>
  <c r="AT85" i="21039"/>
  <c r="B100" i="2"/>
  <c r="P64"/>
  <c r="H9" i="3356"/>
  <c r="AA7" s="1"/>
  <c r="I23" i="1"/>
  <c r="K23" s="1"/>
  <c r="L23" s="1"/>
  <c r="O110" i="2"/>
  <c r="O97" s="1"/>
  <c r="BK43" i="21039"/>
  <c r="AN43"/>
  <c r="AJ43"/>
  <c r="AH43"/>
  <c r="AF43"/>
  <c r="AD43"/>
  <c r="T43"/>
  <c r="R43"/>
  <c r="P43"/>
  <c r="N43"/>
  <c r="J43"/>
  <c r="L22" i="1"/>
  <c r="K42"/>
  <c r="L42" s="1"/>
  <c r="AM43" i="21039"/>
  <c r="AI43"/>
  <c r="AG43"/>
  <c r="AE43"/>
  <c r="AC43"/>
  <c r="S43"/>
  <c r="Q43"/>
  <c r="O43"/>
  <c r="K43"/>
  <c r="K39" i="1"/>
  <c r="L39" s="1"/>
  <c r="N67" i="2"/>
  <c r="BN44" i="21039"/>
  <c r="O44"/>
  <c r="I44"/>
  <c r="G44"/>
  <c r="BM43"/>
  <c r="BF43"/>
  <c r="BD43"/>
  <c r="BB43"/>
  <c r="AZ43"/>
  <c r="AX43"/>
  <c r="AV43"/>
  <c r="AT43"/>
  <c r="AR43"/>
  <c r="AP43"/>
  <c r="AL43"/>
  <c r="AB43"/>
  <c r="Z43"/>
  <c r="X43"/>
  <c r="V43"/>
  <c r="M43"/>
  <c r="I43"/>
  <c r="G43"/>
  <c r="E43"/>
  <c r="C43"/>
  <c r="E55" i="1"/>
  <c r="BO44" i="21039"/>
  <c r="P44"/>
  <c r="J44"/>
  <c r="H44"/>
  <c r="BG43"/>
  <c r="BE43"/>
  <c r="BC43"/>
  <c r="BA43"/>
  <c r="AY43"/>
  <c r="AW43"/>
  <c r="AU43"/>
  <c r="AS43"/>
  <c r="AQ43"/>
  <c r="AO43"/>
  <c r="AK43"/>
  <c r="AA43"/>
  <c r="Y43"/>
  <c r="W43"/>
  <c r="U43"/>
  <c r="L43"/>
  <c r="H43"/>
  <c r="F43"/>
  <c r="D43"/>
  <c r="B43"/>
  <c r="BP43"/>
  <c r="K67" i="2"/>
  <c r="H19" i="3356"/>
  <c r="I19" s="1"/>
  <c r="J19" s="1"/>
  <c r="K19" s="1"/>
  <c r="L19" s="1"/>
  <c r="M19" s="1"/>
  <c r="N19" s="1"/>
  <c r="O19" s="1"/>
  <c r="P19" s="1"/>
  <c r="Q19" s="1"/>
  <c r="R19" s="1"/>
  <c r="S19" s="1"/>
  <c r="T80" i="1"/>
  <c r="T85"/>
  <c r="T86"/>
  <c r="T78"/>
  <c r="T84"/>
  <c r="T87"/>
  <c r="T75"/>
  <c r="O43" l="1"/>
  <c r="O44"/>
  <c r="V44"/>
  <c r="G82"/>
  <c r="G57"/>
  <c r="V4" i="3"/>
  <c r="U5" i="21039" s="1"/>
  <c r="U51" s="1"/>
  <c r="C48" i="2"/>
  <c r="C92" i="1"/>
  <c r="D42" i="2"/>
  <c r="D45" s="1"/>
  <c r="D47" s="1"/>
  <c r="E47" s="1"/>
  <c r="F31"/>
  <c r="F18" s="1"/>
  <c r="L30"/>
  <c r="T74" i="1"/>
  <c r="G83"/>
  <c r="G81"/>
  <c r="R31" i="2"/>
  <c r="R18" s="1"/>
  <c r="T82" i="1"/>
  <c r="G59"/>
  <c r="T55"/>
  <c r="T59" s="1"/>
  <c r="O31" i="2"/>
  <c r="O18" s="1"/>
  <c r="J67"/>
  <c r="P30"/>
  <c r="Q31"/>
  <c r="Q18" s="1"/>
  <c r="E92" i="1"/>
  <c r="M67" i="2"/>
  <c r="O66"/>
  <c r="H31"/>
  <c r="H18" s="1"/>
  <c r="F67"/>
  <c r="F68" s="1"/>
  <c r="S31"/>
  <c r="S18" s="1"/>
  <c r="H30"/>
  <c r="O102"/>
  <c r="B30"/>
  <c r="C30"/>
  <c r="B139"/>
  <c r="B140" s="1"/>
  <c r="B141" s="1"/>
  <c r="B142" s="1"/>
  <c r="B67"/>
  <c r="B68" s="1"/>
  <c r="M30"/>
  <c r="D30"/>
  <c r="D36" s="1"/>
  <c r="D38" s="1"/>
  <c r="K20" i="40"/>
  <c r="U44" i="21039"/>
  <c r="Q30" i="2"/>
  <c r="F66"/>
  <c r="Q104"/>
  <c r="Q106" s="1"/>
  <c r="H104"/>
  <c r="E140"/>
  <c r="E141" s="1"/>
  <c r="E142" s="1"/>
  <c r="C140"/>
  <c r="C141" s="1"/>
  <c r="C142" s="1"/>
  <c r="Q32"/>
  <c r="Q33" s="1"/>
  <c r="Q34" s="1"/>
  <c r="N68"/>
  <c r="J68"/>
  <c r="D140"/>
  <c r="D141" s="1"/>
  <c r="D142" s="1"/>
  <c r="C104"/>
  <c r="C106" s="1"/>
  <c r="P32"/>
  <c r="P33" s="1"/>
  <c r="P66"/>
  <c r="J1" i="40"/>
  <c r="E67" i="2"/>
  <c r="E68" s="1"/>
  <c r="G67"/>
  <c r="G68" s="1"/>
  <c r="Q67"/>
  <c r="D67"/>
  <c r="H67"/>
  <c r="M104"/>
  <c r="M105" s="1"/>
  <c r="M106" s="1"/>
  <c r="S32"/>
  <c r="S33" s="1"/>
  <c r="S34" s="1"/>
  <c r="R32"/>
  <c r="R33" s="1"/>
  <c r="R34" s="1"/>
  <c r="B40" i="1"/>
  <c r="I24" s="1"/>
  <c r="D66" i="2"/>
  <c r="H66"/>
  <c r="S67"/>
  <c r="R103"/>
  <c r="I67"/>
  <c r="F30"/>
  <c r="J102"/>
  <c r="B138"/>
  <c r="L31"/>
  <c r="L18" s="1"/>
  <c r="C67"/>
  <c r="E66"/>
  <c r="S103"/>
  <c r="K103"/>
  <c r="J30"/>
  <c r="G66"/>
  <c r="L102"/>
  <c r="K30"/>
  <c r="O67"/>
  <c r="O68" s="1"/>
  <c r="B31"/>
  <c r="B18" s="1"/>
  <c r="I66"/>
  <c r="N31"/>
  <c r="N18" s="1"/>
  <c r="E102"/>
  <c r="D103"/>
  <c r="BT66" i="3"/>
  <c r="C66" i="2"/>
  <c r="G103"/>
  <c r="G102"/>
  <c r="G31"/>
  <c r="G18" s="1"/>
  <c r="I103"/>
  <c r="P67"/>
  <c r="B102"/>
  <c r="D31"/>
  <c r="D18" s="1"/>
  <c r="Q66"/>
  <c r="F103"/>
  <c r="C31"/>
  <c r="C18" s="1"/>
  <c r="L67"/>
  <c r="B103"/>
  <c r="I30"/>
  <c r="M66"/>
  <c r="M31"/>
  <c r="M18" s="1"/>
  <c r="O103"/>
  <c r="J103"/>
  <c r="L103"/>
  <c r="N103"/>
  <c r="K32"/>
  <c r="D10" i="1"/>
  <c r="I31"/>
  <c r="K31" s="1"/>
  <c r="J32"/>
  <c r="J49" s="1"/>
  <c r="J50" s="1"/>
  <c r="U131" i="2"/>
  <c r="BR1" i="3"/>
  <c r="Y1" i="3356"/>
  <c r="T1" i="2"/>
  <c r="BR1" i="21039"/>
  <c r="O1" i="3356"/>
  <c r="E103" i="2"/>
  <c r="U135"/>
  <c r="R67"/>
  <c r="Q44" i="1"/>
  <c r="U134" i="2"/>
  <c r="B44" i="1" s="1"/>
  <c r="BP44" i="21039"/>
  <c r="E32" i="2"/>
  <c r="T44" i="21039"/>
  <c r="O45" i="1"/>
  <c r="U136" i="2"/>
  <c r="B49" i="1" s="1"/>
  <c r="P103" i="2"/>
  <c r="AA1" i="3356"/>
  <c r="W4" i="3"/>
  <c r="V5" i="21039" s="1"/>
  <c r="V51" s="1"/>
  <c r="L1" i="40"/>
  <c r="L21" i="1"/>
  <c r="P34" i="2"/>
  <c r="K68"/>
  <c r="J32"/>
  <c r="F32"/>
  <c r="M68"/>
  <c r="I32"/>
  <c r="E42" l="1"/>
  <c r="E45" s="1"/>
  <c r="E48" s="1"/>
  <c r="D54"/>
  <c r="D48"/>
  <c r="U144"/>
  <c r="H32"/>
  <c r="O32"/>
  <c r="O33" s="1"/>
  <c r="O34" s="1"/>
  <c r="L32"/>
  <c r="D68"/>
  <c r="B54"/>
  <c r="B32"/>
  <c r="B34" s="1"/>
  <c r="I44" i="1"/>
  <c r="F34" i="2"/>
  <c r="J34"/>
  <c r="I34"/>
  <c r="H34"/>
  <c r="E34"/>
  <c r="O69"/>
  <c r="O70" s="1"/>
  <c r="H105"/>
  <c r="H106" s="1"/>
  <c r="E69"/>
  <c r="E70" s="1"/>
  <c r="G70"/>
  <c r="D70"/>
  <c r="L33"/>
  <c r="L34" s="1"/>
  <c r="J69"/>
  <c r="J70" s="1"/>
  <c r="F70"/>
  <c r="M70"/>
  <c r="K69"/>
  <c r="K70" s="1"/>
  <c r="K34"/>
  <c r="B69"/>
  <c r="B70" s="1"/>
  <c r="N70"/>
  <c r="E54"/>
  <c r="R68"/>
  <c r="R69" s="1"/>
  <c r="R70" s="1"/>
  <c r="E104"/>
  <c r="L104"/>
  <c r="O104"/>
  <c r="B104"/>
  <c r="C37"/>
  <c r="C38" s="1"/>
  <c r="U146" s="1"/>
  <c r="F104"/>
  <c r="D32"/>
  <c r="P68"/>
  <c r="G104"/>
  <c r="D104"/>
  <c r="D105" s="1"/>
  <c r="D106" s="1"/>
  <c r="N32"/>
  <c r="K104"/>
  <c r="I68"/>
  <c r="S68"/>
  <c r="S70" s="1"/>
  <c r="Q68"/>
  <c r="Q70" s="1"/>
  <c r="P104"/>
  <c r="P105" s="1"/>
  <c r="P106" s="1"/>
  <c r="N104"/>
  <c r="J104"/>
  <c r="L68"/>
  <c r="I104"/>
  <c r="S104"/>
  <c r="S90"/>
  <c r="C68"/>
  <c r="C54"/>
  <c r="R104"/>
  <c r="H68"/>
  <c r="K24" i="1"/>
  <c r="I26"/>
  <c r="I32" s="1"/>
  <c r="I41"/>
  <c r="B51"/>
  <c r="B52" s="1"/>
  <c r="M32" i="2"/>
  <c r="C32"/>
  <c r="G32"/>
  <c r="G34" s="1"/>
  <c r="U138"/>
  <c r="U139"/>
  <c r="X4" i="3"/>
  <c r="W5" i="21039" s="1"/>
  <c r="W51" s="1"/>
  <c r="F42" i="2"/>
  <c r="F45" s="1"/>
  <c r="F47" s="1"/>
  <c r="V44" i="21039"/>
  <c r="Q38" i="1"/>
  <c r="T5"/>
  <c r="S5"/>
  <c r="O49" l="1"/>
  <c r="V50"/>
  <c r="O52" s="1"/>
  <c r="V38"/>
  <c r="O37"/>
  <c r="O38"/>
  <c r="V48"/>
  <c r="O48" s="1"/>
  <c r="V40"/>
  <c r="O40" s="1"/>
  <c r="L11"/>
  <c r="F48" i="2"/>
  <c r="K44" i="1"/>
  <c r="L44" s="1"/>
  <c r="K41"/>
  <c r="P48" s="1"/>
  <c r="U145" i="2"/>
  <c r="C34"/>
  <c r="D34"/>
  <c r="P69"/>
  <c r="P70" s="1"/>
  <c r="I105"/>
  <c r="I106" s="1"/>
  <c r="J106"/>
  <c r="K105"/>
  <c r="K106" s="1"/>
  <c r="G105"/>
  <c r="G106" s="1"/>
  <c r="F106"/>
  <c r="O105"/>
  <c r="O106" s="1"/>
  <c r="E105"/>
  <c r="E106" s="1"/>
  <c r="R105"/>
  <c r="R106" s="1"/>
  <c r="S105"/>
  <c r="S106" s="1"/>
  <c r="N105"/>
  <c r="N106" s="1"/>
  <c r="B105"/>
  <c r="B106" s="1"/>
  <c r="L105"/>
  <c r="L106" s="1"/>
  <c r="M33"/>
  <c r="M34" s="1"/>
  <c r="H70"/>
  <c r="N33"/>
  <c r="N34" s="1"/>
  <c r="C70"/>
  <c r="L69"/>
  <c r="L70" s="1"/>
  <c r="I69"/>
  <c r="I70" s="1"/>
  <c r="F54"/>
  <c r="L24" i="1"/>
  <c r="K26"/>
  <c r="K32" s="1"/>
  <c r="N20" s="1"/>
  <c r="D5"/>
  <c r="W44" i="21039"/>
  <c r="G42" i="2"/>
  <c r="G45" s="1"/>
  <c r="G47" s="1"/>
  <c r="Y4" i="3"/>
  <c r="X5" i="21039" s="1"/>
  <c r="X51" s="1"/>
  <c r="Q40" i="1"/>
  <c r="O39"/>
  <c r="L41"/>
  <c r="O50" l="1"/>
  <c r="O41"/>
  <c r="V42"/>
  <c r="O42" s="1"/>
  <c r="G48" i="2"/>
  <c r="P50" i="1"/>
  <c r="Q42"/>
  <c r="U142" i="2"/>
  <c r="L10" i="1" s="1"/>
  <c r="L12" s="1"/>
  <c r="G54" i="2"/>
  <c r="X44" i="21039"/>
  <c r="H42" i="2"/>
  <c r="H45" s="1"/>
  <c r="H47" s="1"/>
  <c r="I47" s="1"/>
  <c r="J47" s="1"/>
  <c r="K47" s="1"/>
  <c r="L47" s="1"/>
  <c r="Z4" i="3"/>
  <c r="Y5" i="21039" s="1"/>
  <c r="Y51" s="1"/>
  <c r="H48" i="2" l="1"/>
  <c r="E3" i="21040"/>
  <c r="E4" s="1"/>
  <c r="H54" i="2"/>
  <c r="Y44" i="21039"/>
  <c r="I42" i="2"/>
  <c r="I45" s="1"/>
  <c r="I48" s="1"/>
  <c r="AA4" i="3"/>
  <c r="Z5" i="21039" s="1"/>
  <c r="Z51" s="1"/>
  <c r="I54" i="2" l="1"/>
  <c r="J42"/>
  <c r="J45" s="1"/>
  <c r="J48" s="1"/>
  <c r="AB4" i="3"/>
  <c r="AA5" i="21039" s="1"/>
  <c r="AA51" s="1"/>
  <c r="Z44"/>
  <c r="J54" i="2" l="1"/>
  <c r="AC4" i="3"/>
  <c r="AB5" i="21039" s="1"/>
  <c r="AB51" s="1"/>
  <c r="K42" i="2"/>
  <c r="K45" s="1"/>
  <c r="K48" s="1"/>
  <c r="AA44" i="21039"/>
  <c r="K54" i="2" l="1"/>
  <c r="AB44" i="21039"/>
  <c r="L42" i="2"/>
  <c r="L45" s="1"/>
  <c r="L48" s="1"/>
  <c r="AD4" i="3"/>
  <c r="AC5" i="21039" s="1"/>
  <c r="AC51" s="1"/>
  <c r="L54" i="2" l="1"/>
  <c r="AE4" i="3"/>
  <c r="AD5" i="21039" s="1"/>
  <c r="AD51" s="1"/>
  <c r="M42" i="2"/>
  <c r="M45" s="1"/>
  <c r="M47" s="1"/>
  <c r="AC44" i="21039"/>
  <c r="M48" i="2" l="1"/>
  <c r="M54"/>
  <c r="AF4" i="3"/>
  <c r="AE5" i="21039" s="1"/>
  <c r="AE51" s="1"/>
  <c r="N42" i="2"/>
  <c r="N45" s="1"/>
  <c r="N47" s="1"/>
  <c r="O47" s="1"/>
  <c r="P47" s="1"/>
  <c r="AD44" i="21039"/>
  <c r="N48" i="2" l="1"/>
  <c r="N54"/>
  <c r="AE44" i="21039"/>
  <c r="O42" i="2"/>
  <c r="O45" s="1"/>
  <c r="O48" s="1"/>
  <c r="AG4" i="3"/>
  <c r="AF5" i="21039" s="1"/>
  <c r="AF51" s="1"/>
  <c r="O54" i="2" l="1"/>
  <c r="AF44" i="21039"/>
  <c r="AH4" i="3"/>
  <c r="AG5" i="21039" s="1"/>
  <c r="AG51" s="1"/>
  <c r="P42" i="2"/>
  <c r="P45" s="1"/>
  <c r="P48" s="1"/>
  <c r="P54" l="1"/>
  <c r="Q42"/>
  <c r="Q45" s="1"/>
  <c r="Q47" s="1"/>
  <c r="R47" s="1"/>
  <c r="AI4" i="3"/>
  <c r="AH5" i="21039" s="1"/>
  <c r="AH51" s="1"/>
  <c r="AG44"/>
  <c r="Q48" i="2" l="1"/>
  <c r="Q54"/>
  <c r="AH44" i="21039"/>
  <c r="AJ4" i="3"/>
  <c r="AI5" i="21039" s="1"/>
  <c r="AI51" s="1"/>
  <c r="R42" i="2"/>
  <c r="R45" s="1"/>
  <c r="R48" s="1"/>
  <c r="R54" l="1"/>
  <c r="AK4" i="3"/>
  <c r="AJ5" i="21039" s="1"/>
  <c r="AJ51" s="1"/>
  <c r="S42" i="2"/>
  <c r="S45" s="1"/>
  <c r="AI44" i="21039"/>
  <c r="S48" i="2" l="1"/>
  <c r="S47"/>
  <c r="S54"/>
  <c r="AJ44" i="21039"/>
  <c r="B78" i="2"/>
  <c r="AL4" i="3"/>
  <c r="AK5" i="21039" s="1"/>
  <c r="AK51" s="1"/>
  <c r="C78" i="2" l="1"/>
  <c r="B90"/>
  <c r="B81"/>
  <c r="B84" s="1"/>
  <c r="AM4" i="3"/>
  <c r="AL5" i="21039" s="1"/>
  <c r="AL51" s="1"/>
  <c r="AK44"/>
  <c r="U90" i="2" l="1"/>
  <c r="B83"/>
  <c r="C90"/>
  <c r="AN4" i="3"/>
  <c r="AM5" i="21039" s="1"/>
  <c r="AM51" s="1"/>
  <c r="C81" i="2"/>
  <c r="D78"/>
  <c r="AL44" i="21039"/>
  <c r="C84" i="2" l="1"/>
  <c r="C83"/>
  <c r="D83" s="1"/>
  <c r="E83" s="1"/>
  <c r="D90"/>
  <c r="AM44" i="21039"/>
  <c r="E78" i="2"/>
  <c r="D81"/>
  <c r="D84" s="1"/>
  <c r="AO4" i="3"/>
  <c r="AN5" i="21039" s="1"/>
  <c r="AN51" s="1"/>
  <c r="E90" i="2" l="1"/>
  <c r="AN44" i="21039"/>
  <c r="AP4" i="3"/>
  <c r="AO5" i="21039" s="1"/>
  <c r="AO51" s="1"/>
  <c r="E81" i="2"/>
  <c r="E84" s="1"/>
  <c r="F78"/>
  <c r="F90" l="1"/>
  <c r="G78"/>
  <c r="F81"/>
  <c r="AQ4" i="3"/>
  <c r="AP5" i="21039" s="1"/>
  <c r="AP51" s="1"/>
  <c r="AO44"/>
  <c r="F84" i="2" l="1"/>
  <c r="F83"/>
  <c r="G83" s="1"/>
  <c r="H83" s="1"/>
  <c r="I83" s="1"/>
  <c r="G90"/>
  <c r="AR4" i="3"/>
  <c r="AQ5" i="21039" s="1"/>
  <c r="AQ51" s="1"/>
  <c r="H78" i="2"/>
  <c r="G81"/>
  <c r="G84" s="1"/>
  <c r="AP44" i="21039"/>
  <c r="H90" i="2" l="1"/>
  <c r="AQ44" i="21039"/>
  <c r="AS4" i="3"/>
  <c r="AR5" i="21039" s="1"/>
  <c r="AR51" s="1"/>
  <c r="I78" i="2"/>
  <c r="H81"/>
  <c r="H84" s="1"/>
  <c r="I90" l="1"/>
  <c r="AR44" i="21039"/>
  <c r="J78" i="2"/>
  <c r="AT4" i="3"/>
  <c r="AS5" i="21039" s="1"/>
  <c r="AS51" s="1"/>
  <c r="I81" i="2"/>
  <c r="I84" s="1"/>
  <c r="J90" l="1"/>
  <c r="J81"/>
  <c r="AU4" i="3"/>
  <c r="AT5" i="21039" s="1"/>
  <c r="AT51" s="1"/>
  <c r="K78" i="2"/>
  <c r="AS44" i="21039"/>
  <c r="J84" i="2" l="1"/>
  <c r="J83"/>
  <c r="K83" s="1"/>
  <c r="L83" s="1"/>
  <c r="M83" s="1"/>
  <c r="N83" s="1"/>
  <c r="O83" s="1"/>
  <c r="P83" s="1"/>
  <c r="K90"/>
  <c r="AT44" i="21039"/>
  <c r="L78" i="2"/>
  <c r="K81"/>
  <c r="K84" s="1"/>
  <c r="AV4" i="3"/>
  <c r="AU5" i="21039" s="1"/>
  <c r="AU51" s="1"/>
  <c r="L90" i="2" l="1"/>
  <c r="AW4" i="3"/>
  <c r="AV5" i="21039" s="1"/>
  <c r="AV51" s="1"/>
  <c r="M78" i="2"/>
  <c r="L81"/>
  <c r="L84" s="1"/>
  <c r="AU44" i="21039"/>
  <c r="M90" i="2" l="1"/>
  <c r="AV44" i="21039"/>
  <c r="AX4" i="3"/>
  <c r="AW5" i="21039" s="1"/>
  <c r="AW51" s="1"/>
  <c r="N78" i="2"/>
  <c r="M81"/>
  <c r="M84" s="1"/>
  <c r="N90" l="1"/>
  <c r="AY4" i="3"/>
  <c r="AX5" i="21039" s="1"/>
  <c r="AX51" s="1"/>
  <c r="O78" i="2"/>
  <c r="N81"/>
  <c r="N84" s="1"/>
  <c r="AW44" i="21039"/>
  <c r="O90" i="2" l="1"/>
  <c r="P78"/>
  <c r="O81"/>
  <c r="O84" s="1"/>
  <c r="AZ4" i="3"/>
  <c r="AY5" i="21039" s="1"/>
  <c r="AY51" s="1"/>
  <c r="AX44"/>
  <c r="P90" i="2" l="1"/>
  <c r="AY44" i="21039"/>
  <c r="BA4" i="3"/>
  <c r="AZ5" i="21039" s="1"/>
  <c r="AZ51" s="1"/>
  <c r="P81" i="2"/>
  <c r="P84" s="1"/>
  <c r="Q78"/>
  <c r="Q90" l="1"/>
  <c r="BB4" i="3"/>
  <c r="BA5" i="21039" s="1"/>
  <c r="BA51" s="1"/>
  <c r="Q81" i="2"/>
  <c r="R78"/>
  <c r="AZ44" i="21039"/>
  <c r="Q84" i="2" l="1"/>
  <c r="Q83"/>
  <c r="R83" s="1"/>
  <c r="S83" s="1"/>
  <c r="R90"/>
  <c r="R81"/>
  <c r="R84" s="1"/>
  <c r="BC4" i="3"/>
  <c r="BB5" i="21039" s="1"/>
  <c r="BB51" s="1"/>
  <c r="BA44"/>
  <c r="BB44" l="1"/>
  <c r="BD4" i="3"/>
  <c r="BC5" i="21039" s="1"/>
  <c r="BC51" s="1"/>
  <c r="B114" i="2"/>
  <c r="B126" s="1"/>
  <c r="S81"/>
  <c r="S84" s="1"/>
  <c r="B120" l="1"/>
  <c r="C114"/>
  <c r="B117"/>
  <c r="BE4" i="3"/>
  <c r="BD5" i="21039" s="1"/>
  <c r="BD51" s="1"/>
  <c r="BC44"/>
  <c r="C120" i="2" l="1"/>
  <c r="C126"/>
  <c r="B119"/>
  <c r="C119" s="1"/>
  <c r="D119" s="1"/>
  <c r="E119" s="1"/>
  <c r="BD44" i="21039"/>
  <c r="D114" i="2"/>
  <c r="BF4" i="3"/>
  <c r="BE5" i="21039" s="1"/>
  <c r="BE51" s="1"/>
  <c r="D120" i="2" l="1"/>
  <c r="D126"/>
  <c r="U119"/>
  <c r="BG4" i="3"/>
  <c r="BF5" i="21039" s="1"/>
  <c r="BF51" s="1"/>
  <c r="E114" i="2"/>
  <c r="D117"/>
  <c r="BE44" i="21039"/>
  <c r="Q30" i="1" l="1"/>
  <c r="E120" i="2"/>
  <c r="E126"/>
  <c r="E117"/>
  <c r="BH4" i="3"/>
  <c r="BG5" i="21039" s="1"/>
  <c r="BG51" s="1"/>
  <c r="BF44"/>
  <c r="BG44" l="1"/>
  <c r="U120" i="2" l="1"/>
  <c r="I16" i="1" s="1"/>
  <c r="T102"/>
  <c r="AB9"/>
  <c r="L78"/>
  <c r="L80" s="1"/>
  <c r="G80" i="40"/>
  <c r="R17" i="1" s="1"/>
  <c r="I45" s="1"/>
  <c r="L45" l="1"/>
  <c r="K45"/>
  <c r="O47" s="1"/>
  <c r="I47"/>
  <c r="D6"/>
  <c r="D7" s="1"/>
  <c r="D11" s="1"/>
  <c r="T6" l="1"/>
  <c r="I49"/>
  <c r="K49" s="1"/>
  <c r="E8" i="21040"/>
  <c r="D12" i="1"/>
  <c r="S6"/>
  <c r="B12"/>
  <c r="A12" s="1"/>
  <c r="T9"/>
  <c r="N9" s="1"/>
  <c r="P46"/>
  <c r="L40"/>
  <c r="K47"/>
  <c r="N35" s="1"/>
  <c r="I50"/>
  <c r="K34" l="1"/>
  <c r="K50"/>
  <c r="B16" i="21040"/>
  <c r="B15"/>
</calcChain>
</file>

<file path=xl/sharedStrings.xml><?xml version="1.0" encoding="utf-8"?>
<sst xmlns="http://schemas.openxmlformats.org/spreadsheetml/2006/main" count="656" uniqueCount="289">
  <si>
    <t>CALCULATED BALANCE OVER YEAR</t>
  </si>
  <si>
    <t>OVERALL</t>
  </si>
  <si>
    <t>BANK POSITION AT LAST MEETING</t>
  </si>
  <si>
    <t>NOTES</t>
  </si>
  <si>
    <t>OPERATING SURPLUS OVER YEAR</t>
  </si>
  <si>
    <t>FLOATING FUND AT START OF YEAR</t>
  </si>
  <si>
    <t>BANK POSITION THIS YEAR</t>
  </si>
  <si>
    <t>BALANCE @</t>
  </si>
  <si>
    <t>FLOATING FUND CARRIED FORWARD TO NEXT YEAR</t>
  </si>
  <si>
    <t>TRIP DETAILS</t>
  </si>
  <si>
    <t>TOTALS</t>
  </si>
  <si>
    <t>Last Year</t>
  </si>
  <si>
    <t>NUMBER OF DAYS ON BOAT</t>
  </si>
  <si>
    <t>NUMBER OF NON-PARTICIPANT-DAYS</t>
  </si>
  <si>
    <t>INCOME</t>
  </si>
  <si>
    <t>INCOME ANALYSIS</t>
  </si>
  <si>
    <t>ACTUAL</t>
  </si>
  <si>
    <t>BUDGET</t>
  </si>
  <si>
    <t>Income from non participants</t>
  </si>
  <si>
    <t>Trip charge v pump-outs (NET)</t>
  </si>
  <si>
    <t>INCOME OVER YEAR</t>
  </si>
  <si>
    <t>Daily charge v Fuel,gas,oil etc (NET)</t>
  </si>
  <si>
    <t>TOTAL</t>
  </si>
  <si>
    <t>FIXED CHARGE (PER TRIP)</t>
  </si>
  <si>
    <t>DAILY CHARGE (FUEL/GAS ETC.)</t>
  </si>
  <si>
    <t>Daily:</t>
  </si>
  <si>
    <t>Fuel+ Oil/day</t>
  </si>
  <si>
    <t>NON PARTICIPANTS' CONTRIBUTIONS</t>
  </si>
  <si>
    <t>Gas/day</t>
  </si>
  <si>
    <t>SHARES</t>
  </si>
  <si>
    <t>Trip:</t>
  </si>
  <si>
    <t>PumpO/trip</t>
  </si>
  <si>
    <t>TOTAL INCOME</t>
  </si>
  <si>
    <t>TOTAL BUDGETED INCOME</t>
  </si>
  <si>
    <t>EXPENDITURE OVER YEAR</t>
  </si>
  <si>
    <t>EXPENDITURE</t>
  </si>
  <si>
    <t>RUNNING COSTS</t>
  </si>
  <si>
    <t>GAS</t>
  </si>
  <si>
    <t xml:space="preserve">FUEL </t>
  </si>
  <si>
    <t>ENGINE OIL</t>
  </si>
  <si>
    <t>EXPENDITURE ANALYSIS</t>
  </si>
  <si>
    <t>REPLACEMENTS</t>
  </si>
  <si>
    <t>TOTAL (COVERED BY DAILY CHARGE)</t>
  </si>
  <si>
    <t>PUMP-OUT</t>
  </si>
  <si>
    <t>TOTAL COVERED BY FIXED CHARGE</t>
  </si>
  <si>
    <t>OTHER COSTS</t>
  </si>
  <si>
    <t>Account charges</t>
  </si>
  <si>
    <t>SCHEDULED MAINTENANCE</t>
  </si>
  <si>
    <t>UNPLANNED EXPENDITURE</t>
  </si>
  <si>
    <t>MOORINGS ETC.</t>
  </si>
  <si>
    <t>ACCOUNT CHARGES</t>
  </si>
  <si>
    <t>YEAR EXPENDITURE</t>
  </si>
  <si>
    <t>REPLATING</t>
  </si>
  <si>
    <t>TOTAL EXPENDITURE</t>
  </si>
  <si>
    <t>TOTAL INCLUDING FLOATING FUND</t>
  </si>
  <si>
    <t>MAINTENANCE</t>
  </si>
  <si>
    <t>C</t>
  </si>
  <si>
    <t>Balance on jobs completed</t>
  </si>
  <si>
    <t>(C)</t>
  </si>
  <si>
    <t>X</t>
  </si>
  <si>
    <t>OTHER &amp; UNPLANNED EXPENDITURE</t>
  </si>
  <si>
    <t>(X)</t>
  </si>
  <si>
    <t>N</t>
  </si>
  <si>
    <t>(N)</t>
  </si>
  <si>
    <t>INCOME - SUBS</t>
  </si>
  <si>
    <t>SHARE</t>
  </si>
  <si>
    <t>DEPOSIT SLIP</t>
  </si>
  <si>
    <t>post bal.</t>
  </si>
  <si>
    <t>SUBMITTED BY:</t>
  </si>
  <si>
    <t>TRIP START (DD/MM/YY)</t>
  </si>
  <si>
    <t>TOTAL CONTRIBUTION</t>
  </si>
  <si>
    <t>MAINT</t>
  </si>
  <si>
    <t>EXPENDITURE - RUNNING COSTS</t>
  </si>
  <si>
    <t>EXPENDITURE - OTHER COSTS</t>
  </si>
  <si>
    <t>TOTAL (OTHER COSTS)</t>
  </si>
  <si>
    <t>Cheque number</t>
  </si>
  <si>
    <t>TOTAL SCHEDULED MAINTENANCE</t>
  </si>
  <si>
    <t>TOTAL FUNDED BY FLOATING FUND</t>
  </si>
  <si>
    <t>SPECIAL PROJECTS</t>
  </si>
  <si>
    <t>TOTAL UNPLANNED EXPENDITURE</t>
  </si>
  <si>
    <t>TOTAL INCOME FROM PROVISIONS</t>
  </si>
  <si>
    <t>TOTAL EXPENDITURE TO PROVISIONS</t>
  </si>
  <si>
    <t>Provisioned</t>
  </si>
  <si>
    <t>PUMP-OUT - TOTAL (COVERED BY TRIP CHARGE)</t>
  </si>
  <si>
    <t>UNDER SPEND</t>
  </si>
  <si>
    <t>YEAR=</t>
  </si>
  <si>
    <t>START WEEK</t>
  </si>
  <si>
    <t>Class</t>
  </si>
  <si>
    <t>class</t>
  </si>
  <si>
    <t>Jobs over budget</t>
  </si>
  <si>
    <t>PROVISIONED INCOME</t>
  </si>
  <si>
    <t>PROVISIONED EXPENSES</t>
  </si>
  <si>
    <t>CLAIM DETAILS</t>
  </si>
  <si>
    <t>CLAIM DETAILS - MAINTENANCE</t>
  </si>
  <si>
    <t>ADJUST THE HEADER POSITIONS BEFORE/AFTER HIDING COLUMNS!</t>
  </si>
  <si>
    <t>HEADER!</t>
  </si>
  <si>
    <t>CLAIM DETAILS - OTHER EXPENSES</t>
  </si>
  <si>
    <t>LATE BANKING FROM PREVIOUS YEARS</t>
  </si>
  <si>
    <t>P</t>
  </si>
  <si>
    <t>Moorings, Insurance, BWB licence</t>
  </si>
  <si>
    <t>BETTER THAN BUDGET</t>
  </si>
  <si>
    <t>Balance remaining on jobs not yet charged</t>
  </si>
  <si>
    <t/>
  </si>
  <si>
    <t>Updated:</t>
  </si>
  <si>
    <t>PB</t>
  </si>
  <si>
    <t>DJB</t>
  </si>
  <si>
    <t>HIDE - Post bal calculation</t>
  </si>
  <si>
    <t>HIDE - Insurance</t>
  </si>
  <si>
    <t>HIDE - BWB Mooring</t>
  </si>
  <si>
    <t>HIDE - Licence</t>
  </si>
  <si>
    <t>HIDE - Casual mooring</t>
  </si>
  <si>
    <t>HIDE - Used weeks calculation</t>
  </si>
  <si>
    <t>HIDE - Scheduled weeks calculation</t>
  </si>
  <si>
    <t>HIDE - Used weeks calculation - week start date (Friday)</t>
  </si>
  <si>
    <t>DONATIONS</t>
  </si>
  <si>
    <t>UNPLANNED EXPENDITURE AND DONATIONS</t>
  </si>
  <si>
    <t>GIFTS &amp; DONATIONS</t>
  </si>
  <si>
    <t>Balance on jobs abandoned</t>
  </si>
  <si>
    <t>Budget</t>
  </si>
  <si>
    <t>Fix T1 before Web Issue</t>
  </si>
  <si>
    <t>Cheque / Deposit slip number</t>
  </si>
  <si>
    <r>
      <t xml:space="preserve">Net to be paid in / </t>
    </r>
    <r>
      <rPr>
        <b/>
        <sz val="6"/>
        <color indexed="10"/>
        <rFont val="Arial"/>
        <family val="2"/>
      </rPr>
      <t xml:space="preserve">out </t>
    </r>
  </si>
  <si>
    <r>
      <t xml:space="preserve">CREDITS / </t>
    </r>
    <r>
      <rPr>
        <sz val="6"/>
        <color indexed="10"/>
        <rFont val="Arial"/>
        <family val="2"/>
      </rPr>
      <t>DEBITS</t>
    </r>
    <r>
      <rPr>
        <sz val="6"/>
        <rFont val="Arial"/>
        <family val="2"/>
      </rPr>
      <t xml:space="preserve"> EXPECTED POST BALANCE</t>
    </r>
  </si>
  <si>
    <t>HIDE - Used week</t>
  </si>
  <si>
    <t>HIDE - Used weeks sumation</t>
  </si>
  <si>
    <t>HIDE - Already Used, scheduled week?</t>
  </si>
  <si>
    <t>CURRENT BALANCE AFTER ALL CHEQUES AND DEPOSITS HAVE CLEARED</t>
  </si>
  <si>
    <t>Bank Debits with no corresponding trip account</t>
  </si>
  <si>
    <t>Bank Credits with no corresponding trip account</t>
  </si>
  <si>
    <t>Cells coloured Yellow can be updated</t>
  </si>
  <si>
    <t>TRIP ACCOUNTS IN SCHEDULED WEEKS</t>
  </si>
  <si>
    <t>Date</t>
  </si>
  <si>
    <t>Who</t>
  </si>
  <si>
    <t>DEPOSIT SLIP NUMBER</t>
  </si>
  <si>
    <t>BALANCE IN BANK @</t>
  </si>
  <si>
    <t>TRIP ACCOUNTS FOR SCHEDULED WEEKS</t>
  </si>
  <si>
    <t>Cell E9 may be needed where (e.g.) someone has paid in an amount which can't be reconciled with a trip sheet.</t>
  </si>
  <si>
    <t>Cell E10 may be needed where a bank debit can't be reconciled with an existing trip sheet (unlikely).</t>
  </si>
  <si>
    <t>2 years ago</t>
  </si>
  <si>
    <t>Fuel rate in each year is sensitive to final &amp; initial fill up.</t>
  </si>
  <si>
    <t xml:space="preserve">KEY WORDS - USE IN "SUBMITTED BY:" &lt;Insurance&gt;, &lt;Licence&gt;, &lt;Mooring&gt;-use only for annual mooring charge </t>
  </si>
  <si>
    <t>Insurance</t>
  </si>
  <si>
    <t>Mooring</t>
  </si>
  <si>
    <t>Licence</t>
  </si>
  <si>
    <t>(P)rovisioned:</t>
  </si>
  <si>
    <t>TRIP SHEET CREDITS / DEBITS EXPECTED (NOT IN  LAST BANK BALANCE)</t>
  </si>
  <si>
    <t>Y</t>
  </si>
  <si>
    <t>unscheduled</t>
  </si>
  <si>
    <t>Winter</t>
  </si>
  <si>
    <t>ADDITIONAL TRIPS AND OTHER ACCOUNTS</t>
  </si>
  <si>
    <t>MOORING, LICENCE , INSURANCE.</t>
  </si>
  <si>
    <t>ADDITIONAL TRIPS (&gt;1 IN A WEEK) AND EXPENSES CLAIMED SEPARATELY FROM A TRIP (EG. WORK W/E)</t>
  </si>
  <si>
    <t>Total</t>
  </si>
  <si>
    <t>Subscription</t>
  </si>
  <si>
    <t>.</t>
  </si>
  <si>
    <r>
      <t xml:space="preserve">REPLACEMENTS </t>
    </r>
    <r>
      <rPr>
        <b/>
        <sz val="6"/>
        <rFont val="Arial"/>
        <family val="2"/>
      </rPr>
      <t>(LOSS &amp; BREAKAGE)</t>
    </r>
  </si>
  <si>
    <r>
      <t xml:space="preserve">UNPLANNED </t>
    </r>
    <r>
      <rPr>
        <b/>
        <sz val="7"/>
        <rFont val="Arial"/>
        <family val="2"/>
      </rPr>
      <t>Items highlighting significant incidents</t>
    </r>
  </si>
  <si>
    <t>(see below for details)</t>
  </si>
  <si>
    <t>Balance on jobs started &amp; not complete</t>
  </si>
  <si>
    <t>(S)</t>
  </si>
  <si>
    <t>S</t>
  </si>
  <si>
    <t xml:space="preserve">WRITTEN-OFF </t>
  </si>
  <si>
    <t>FUEL</t>
  </si>
  <si>
    <t xml:space="preserve">UNPLANNED  </t>
  </si>
  <si>
    <t>Scheduled maintenance</t>
  </si>
  <si>
    <r>
      <t>Gifts &amp; donations</t>
    </r>
    <r>
      <rPr>
        <sz val="6"/>
        <color indexed="10"/>
        <rFont val="Arial"/>
        <family val="2"/>
      </rPr>
      <t xml:space="preserve"> </t>
    </r>
  </si>
  <si>
    <t>Including Special Projects</t>
  </si>
  <si>
    <t>PAYMENT REFERENCE</t>
  </si>
  <si>
    <t>Waterways Recovery Group</t>
  </si>
  <si>
    <t>jobs started &amp; not complete</t>
  </si>
  <si>
    <t>Completed or committed jobs not yet claimed.</t>
  </si>
  <si>
    <t>Payment</t>
  </si>
  <si>
    <t>SUBSCRIPTIONS RECEIVED AND</t>
  </si>
  <si>
    <t>Xmas</t>
  </si>
  <si>
    <t>JF</t>
  </si>
  <si>
    <t>SB</t>
  </si>
  <si>
    <t>JWD KH</t>
  </si>
  <si>
    <t>CJ DJ</t>
  </si>
  <si>
    <t>TM JM</t>
  </si>
  <si>
    <t>DF PF</t>
  </si>
  <si>
    <t>DRK JC</t>
  </si>
  <si>
    <t>DA HA</t>
  </si>
  <si>
    <t>Budget = 9 shares @ £500 + 7 supplements @ 900</t>
  </si>
  <si>
    <t>done</t>
  </si>
  <si>
    <t>TOTAL INCOME TO PROVISIONS</t>
  </si>
  <si>
    <t>TOTAL EXPENDITURE FROM PROVISIONS</t>
  </si>
  <si>
    <t>Hull FUND</t>
  </si>
  <si>
    <t>Jobs not started (no spend)</t>
  </si>
  <si>
    <r>
      <t xml:space="preserve">REPLACEMENTS </t>
    </r>
    <r>
      <rPr>
        <b/>
        <sz val="7"/>
        <rFont val="Arial"/>
        <family val="2"/>
      </rPr>
      <t>Items highlighting significant incidents</t>
    </r>
  </si>
  <si>
    <t>Balance on jobs not done</t>
  </si>
  <si>
    <t>Jobs abandoned (no spend)</t>
  </si>
  <si>
    <t>PROVISIONS INTO / FROM LAST /NEXT YEAR</t>
  </si>
  <si>
    <t>from 2021</t>
  </si>
  <si>
    <t>BOAT USE</t>
  </si>
  <si>
    <t>DAYS USE</t>
  </si>
  <si>
    <t>Income:</t>
  </si>
  <si>
    <t>Payments:</t>
  </si>
  <si>
    <t>TRANSACTIONS MADE EARLY</t>
  </si>
  <si>
    <t xml:space="preserve">OUTSTANDING TRANSACTIONS </t>
  </si>
  <si>
    <r>
      <t xml:space="preserve">CREDITS / </t>
    </r>
    <r>
      <rPr>
        <sz val="6"/>
        <color rgb="FFFF0000"/>
        <rFont val="Arial"/>
        <family val="2"/>
      </rPr>
      <t>DEBITS</t>
    </r>
    <r>
      <rPr>
        <sz val="6"/>
        <rFont val="Arial"/>
        <family val="2"/>
      </rPr>
      <t xml:space="preserve"> EXPECTED POST BALANCE</t>
    </r>
  </si>
  <si>
    <t>Special projects</t>
  </si>
  <si>
    <t>WEEKS USE</t>
  </si>
  <si>
    <t>Compliance: Arrange survey BSS Survey</t>
  </si>
  <si>
    <t>Working w/e food</t>
  </si>
  <si>
    <t>De-winterise replace water pump if necessary</t>
  </si>
  <si>
    <t>Restock water filters &amp; Freezeban</t>
  </si>
  <si>
    <t>Re-stock first aid kit as needed</t>
  </si>
  <si>
    <t>Clean boat for start of season</t>
  </si>
  <si>
    <t xml:space="preserve">Service engine (oil &amp; filters start + mid season)  </t>
  </si>
  <si>
    <t xml:space="preserve">Shelving in dining area - wire stops, </t>
  </si>
  <si>
    <t>Replace boiler</t>
  </si>
  <si>
    <t>Repair/replace rear door</t>
  </si>
  <si>
    <t xml:space="preserve">Replace missing slats in airing cupboard and rear cabin doors </t>
  </si>
  <si>
    <t>Replace broken hinge on side hatch door</t>
  </si>
  <si>
    <t>Repair folding table leg</t>
  </si>
  <si>
    <t>Check stability of step from front door and secure chrome edging</t>
  </si>
  <si>
    <t xml:space="preserve">Replacement system drain water pump </t>
  </si>
  <si>
    <t>Install reasonably accurate drinking water meter</t>
  </si>
  <si>
    <t>An error message will appear below if the calculated balance in Summary D11 and bank balance in Summary L11 differ</t>
  </si>
  <si>
    <t>Monitor water pump voltage problem</t>
  </si>
  <si>
    <t>Check for water leaks under kitchen sink as possible cause of smell</t>
  </si>
  <si>
    <t>Lights replacement/upgrade Replace faulty lights where necessary</t>
  </si>
  <si>
    <t>Gas cooker - Install shelf if not replaced</t>
  </si>
  <si>
    <t>Clean and repaint metal supports under rear counter boards and steps</t>
  </si>
  <si>
    <t>Complete drainage slots in rubber mats over rear boards and add pieces to steps</t>
  </si>
  <si>
    <t>Clean bilge</t>
  </si>
  <si>
    <t>Clean roof</t>
  </si>
  <si>
    <t>Touch up paint where necessary</t>
  </si>
  <si>
    <t>Repaint boathooks and poles</t>
  </si>
  <si>
    <t>Check for any window leaks and repair as necessary</t>
  </si>
  <si>
    <t xml:space="preserve">Use reseating tool on taps in rear loo </t>
  </si>
  <si>
    <t xml:space="preserve">Organize boxes in Boiler Cupboard. </t>
  </si>
  <si>
    <t>NIL</t>
  </si>
  <si>
    <t>Kings Lock</t>
  </si>
  <si>
    <t>DPC</t>
  </si>
  <si>
    <t>James</t>
  </si>
  <si>
    <t>Kee</t>
  </si>
  <si>
    <t>Olympic.me.uk domain renewal until 29/1/2024</t>
  </si>
  <si>
    <t>Olympic Door Key</t>
  </si>
  <si>
    <t>New Gas Regualtor as advised after BSS</t>
  </si>
  <si>
    <t>Replacement small pump in box in boiler cupboard</t>
  </si>
  <si>
    <t>Signage replacement</t>
  </si>
  <si>
    <t>Engineer to fit Gas Regulator</t>
  </si>
  <si>
    <t>Atlass</t>
  </si>
  <si>
    <t>New Lifebuoy and Line</t>
  </si>
  <si>
    <t>Phil</t>
  </si>
  <si>
    <t>J &amp; T Martin</t>
  </si>
  <si>
    <t>Fisher</t>
  </si>
  <si>
    <t>Martin</t>
  </si>
  <si>
    <t>De-ionised water 5L</t>
  </si>
  <si>
    <t>Brough</t>
  </si>
  <si>
    <t>Starter battery from Halfords Bolton</t>
  </si>
  <si>
    <t>Alternator test</t>
  </si>
  <si>
    <t>Patricia</t>
  </si>
  <si>
    <t>Stick blender+cafetiere+wine glasses</t>
  </si>
  <si>
    <t>Boiler Inspection (Done in 2021)</t>
  </si>
  <si>
    <t>Boiler Replacement</t>
  </si>
  <si>
    <t>2023 licence</t>
  </si>
  <si>
    <t xml:space="preserve">Refurbish rear loo so bowl holds water, we have all the parts. </t>
  </si>
  <si>
    <t>Boiler Replacement-Switches etc</t>
  </si>
  <si>
    <t>Boiler Replacement-Antifreeze</t>
  </si>
  <si>
    <t>See special projects</t>
  </si>
  <si>
    <t>2023 Licence (paid 2022  &amp; provisioned from 2023)</t>
  </si>
  <si>
    <t xml:space="preserve">Emergencies &amp; Unplanned </t>
  </si>
  <si>
    <t>2023 Licence</t>
  </si>
  <si>
    <t>Partially off-set by increased daily charge</t>
  </si>
  <si>
    <t>15 out of 26 possible weeks last year</t>
  </si>
  <si>
    <t>Postage to return Sterling Unit</t>
  </si>
  <si>
    <t>Sterling Unit repair+new shunt &amp; alternator temp. sensor</t>
  </si>
  <si>
    <t>Blower Box Plumbing (and electrical parts)</t>
  </si>
  <si>
    <t>Webasto Silencio Blower Box</t>
  </si>
  <si>
    <t>Purchase of new Alternator (incls. delivery) SEE PROVISION</t>
  </si>
  <si>
    <t>Income</t>
  </si>
  <si>
    <t>Actual</t>
  </si>
  <si>
    <t>Due</t>
  </si>
  <si>
    <t>Incme</t>
  </si>
  <si>
    <t>``</t>
  </si>
  <si>
    <r>
      <rPr>
        <sz val="6"/>
        <color indexed="10"/>
        <rFont val="Arial"/>
        <family val="2"/>
      </rPr>
      <t>DEBITS</t>
    </r>
    <r>
      <rPr>
        <sz val="6"/>
        <rFont val="Arial"/>
        <family val="2"/>
      </rPr>
      <t xml:space="preserve"> HELD BACK UNTIL FUNDS ARE  AVAILABLE</t>
    </r>
  </si>
  <si>
    <t>Tap connectors for hose x 3</t>
  </si>
  <si>
    <t>Special Antifreeze, 5L Rock Oil KOOL Guard</t>
  </si>
  <si>
    <t>John Derbyshire didn't rejoin, difficult with 2-yr old</t>
  </si>
  <si>
    <t>Refund for new Alternator from supplier (net of £16.45 postage)</t>
  </si>
  <si>
    <t xml:space="preserve">P&amp;P to return new alternator (estimated £16.45 not paid but privisioned) </t>
  </si>
  <si>
    <t xml:space="preserve">Floating Fund last year was </t>
  </si>
  <si>
    <t>Budget aim was:</t>
  </si>
  <si>
    <t>Including Special projects (the boiler)</t>
  </si>
  <si>
    <t>&lt;10%</t>
  </si>
  <si>
    <t>PB_22/02</t>
  </si>
  <si>
    <t>SPECIAL PROJECT - Boiler</t>
  </si>
</sst>
</file>

<file path=xl/styles.xml><?xml version="1.0" encoding="utf-8"?>
<styleSheet xmlns="http://schemas.openxmlformats.org/spreadsheetml/2006/main">
  <numFmts count="15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m/d/yy"/>
    <numFmt numFmtId="167" formatCode="d\-mmm\-yy"/>
    <numFmt numFmtId="168" formatCode="&quot;£&quot;#,##0.00"/>
    <numFmt numFmtId="169" formatCode="&quot;£&quot;#,##0"/>
    <numFmt numFmtId="170" formatCode="&quot;£&quot;#,##0.00;[Red]&quot;£&quot;#,##0.00"/>
    <numFmt numFmtId="171" formatCode="mmmm\ d\,\ yyyy"/>
    <numFmt numFmtId="172" formatCode="&quot;£&quot;#,##0.000000"/>
    <numFmt numFmtId="173" formatCode="0.00000000E+00"/>
    <numFmt numFmtId="174" formatCode="#,##0;[Red]#,##0"/>
    <numFmt numFmtId="175" formatCode="#,##0.00;[Red]#,##0.00"/>
    <numFmt numFmtId="176" formatCode="\$#,##0\ ;&quot;($&quot;#,##0\)"/>
  </numFmts>
  <fonts count="62">
    <font>
      <sz val="6"/>
      <name val="Arial"/>
      <family val="2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i/>
      <sz val="6"/>
      <name val="Arial"/>
      <family val="2"/>
    </font>
    <font>
      <b/>
      <sz val="24"/>
      <name val="Arial"/>
      <family val="2"/>
    </font>
    <font>
      <b/>
      <i/>
      <sz val="16"/>
      <name val="Arial"/>
      <family val="2"/>
    </font>
    <font>
      <sz val="18"/>
      <name val="Arial"/>
      <family val="2"/>
    </font>
    <font>
      <sz val="6"/>
      <color indexed="10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i/>
      <sz val="30"/>
      <name val="Arial"/>
      <family val="2"/>
    </font>
    <font>
      <i/>
      <sz val="28"/>
      <name val="Arial"/>
      <family val="2"/>
    </font>
    <font>
      <b/>
      <sz val="22"/>
      <name val="Arial"/>
      <family val="2"/>
    </font>
    <font>
      <i/>
      <sz val="22"/>
      <name val="Arial"/>
      <family val="2"/>
    </font>
    <font>
      <b/>
      <i/>
      <sz val="8"/>
      <name val="Arial"/>
      <family val="2"/>
    </font>
    <font>
      <sz val="6"/>
      <color indexed="17"/>
      <name val="Arial"/>
      <family val="2"/>
    </font>
    <font>
      <b/>
      <sz val="6"/>
      <color indexed="10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b/>
      <sz val="6"/>
      <color indexed="12"/>
      <name val="Arial"/>
      <family val="2"/>
    </font>
    <font>
      <b/>
      <sz val="20"/>
      <color indexed="24"/>
      <name val="Times New Roman"/>
      <family val="1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u/>
      <sz val="20"/>
      <color indexed="12"/>
      <name val="Times New Roman"/>
      <family val="1"/>
    </font>
    <font>
      <b/>
      <sz val="9"/>
      <name val="Arial"/>
      <family val="2"/>
    </font>
    <font>
      <sz val="12"/>
      <color indexed="24"/>
      <name val="Arial"/>
      <family val="2"/>
    </font>
    <font>
      <sz val="6"/>
      <color indexed="8"/>
      <name val="Arial"/>
      <family val="2"/>
    </font>
    <font>
      <b/>
      <sz val="7"/>
      <name val="Arial"/>
      <family val="2"/>
    </font>
    <font>
      <b/>
      <sz val="15"/>
      <name val="Arial"/>
      <family val="2"/>
    </font>
    <font>
      <sz val="9"/>
      <name val="Arial"/>
      <family val="2"/>
    </font>
    <font>
      <sz val="6"/>
      <color theme="1"/>
      <name val="Arial"/>
      <family val="2"/>
    </font>
    <font>
      <strike/>
      <sz val="6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sz val="24"/>
      <color indexed="10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i/>
      <sz val="18"/>
      <name val="Arial"/>
      <family val="2"/>
    </font>
    <font>
      <sz val="6"/>
      <color rgb="FFFF0000"/>
      <name val="Arial"/>
      <family val="2"/>
    </font>
    <font>
      <b/>
      <sz val="20"/>
      <color indexed="24"/>
      <name val="Times New Roman"/>
    </font>
    <font>
      <b/>
      <sz val="20"/>
      <color rgb="FF8080FF"/>
      <name val="Times New Roman"/>
      <charset val="1"/>
    </font>
    <font>
      <sz val="14"/>
      <color rgb="FF8080FF"/>
      <name val="Times New Roman"/>
      <family val="1"/>
      <charset val="1"/>
    </font>
    <font>
      <b/>
      <i/>
      <sz val="12"/>
      <color rgb="FF8080FF"/>
      <name val="Times New Roman"/>
      <family val="1"/>
      <charset val="1"/>
    </font>
    <font>
      <sz val="12"/>
      <color rgb="FF8080FF"/>
      <name val="Arial"/>
      <family val="2"/>
      <charset val="1"/>
    </font>
    <font>
      <b/>
      <sz val="12"/>
      <name val="Arial"/>
      <family val="2"/>
    </font>
    <font>
      <sz val="8"/>
      <color theme="6" tint="-0.249977111117893"/>
      <name val="Arial"/>
      <family val="2"/>
    </font>
    <font>
      <b/>
      <sz val="8"/>
      <color theme="6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9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15" fontId="0" fillId="0" borderId="0"/>
    <xf numFmtId="3" fontId="4" fillId="0" borderId="0" applyFont="0" applyFill="0" applyBorder="0" applyAlignment="0" applyProtection="0"/>
    <xf numFmtId="3" fontId="40" fillId="0" borderId="0" applyFont="0" applyFill="0" applyBorder="0" applyAlignment="0" applyProtection="0"/>
    <xf numFmtId="3" fontId="3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5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0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35" fillId="0" borderId="0"/>
    <xf numFmtId="0" fontId="4" fillId="0" borderId="1" applyNumberFormat="0" applyFont="0" applyFill="0" applyAlignment="0" applyProtection="0"/>
    <xf numFmtId="0" fontId="40" fillId="0" borderId="1" applyNumberFormat="0" applyFont="0" applyFill="0" applyAlignment="0" applyProtection="0"/>
    <xf numFmtId="0" fontId="35" fillId="0" borderId="1" applyNumberFormat="0" applyFont="0" applyFill="0" applyAlignment="0" applyProtection="0"/>
    <xf numFmtId="0" fontId="54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/>
    <xf numFmtId="3" fontId="55" fillId="0" borderId="0" applyBorder="0" applyProtection="0"/>
    <xf numFmtId="3" fontId="55" fillId="0" borderId="0" applyBorder="0" applyProtection="0"/>
    <xf numFmtId="176" fontId="55" fillId="0" borderId="0" applyBorder="0" applyProtection="0"/>
    <xf numFmtId="176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2" fontId="55" fillId="0" borderId="0" applyBorder="0" applyProtection="0"/>
    <xf numFmtId="2" fontId="55" fillId="0" borderId="0" applyBorder="0" applyProtection="0"/>
    <xf numFmtId="0" fontId="56" fillId="0" borderId="0" applyBorder="0" applyProtection="0"/>
    <xf numFmtId="0" fontId="57" fillId="0" borderId="0" applyBorder="0" applyProtection="0"/>
    <xf numFmtId="0" fontId="58" fillId="0" borderId="0"/>
    <xf numFmtId="0" fontId="58" fillId="0" borderId="0"/>
    <xf numFmtId="0" fontId="55" fillId="0" borderId="1" applyProtection="0"/>
  </cellStyleXfs>
  <cellXfs count="820">
    <xf numFmtId="15" fontId="0" fillId="0" borderId="0" xfId="0"/>
    <xf numFmtId="15" fontId="4" fillId="0" borderId="0" xfId="0" applyFont="1"/>
    <xf numFmtId="2" fontId="4" fillId="0" borderId="0" xfId="0" applyNumberFormat="1" applyFont="1"/>
    <xf numFmtId="15" fontId="4" fillId="0" borderId="2" xfId="0" applyFont="1" applyBorder="1"/>
    <xf numFmtId="15" fontId="4" fillId="0" borderId="3" xfId="0" applyFont="1" applyBorder="1"/>
    <xf numFmtId="15" fontId="4" fillId="0" borderId="4" xfId="0" applyFont="1" applyBorder="1"/>
    <xf numFmtId="15" fontId="4" fillId="0" borderId="5" xfId="0" applyFont="1" applyBorder="1"/>
    <xf numFmtId="15" fontId="4" fillId="0" borderId="6" xfId="0" applyFont="1" applyBorder="1"/>
    <xf numFmtId="15" fontId="4" fillId="0" borderId="7" xfId="0" applyFont="1" applyBorder="1"/>
    <xf numFmtId="15" fontId="4" fillId="0" borderId="8" xfId="0" applyFont="1" applyBorder="1"/>
    <xf numFmtId="0" fontId="4" fillId="0" borderId="0" xfId="0" applyNumberFormat="1" applyFont="1"/>
    <xf numFmtId="15" fontId="3" fillId="0" borderId="7" xfId="0" applyFont="1" applyBorder="1" applyAlignment="1">
      <alignment horizontal="center"/>
    </xf>
    <xf numFmtId="15" fontId="4" fillId="0" borderId="7" xfId="0" applyFont="1" applyBorder="1" applyAlignment="1">
      <alignment horizontal="center"/>
    </xf>
    <xf numFmtId="15" fontId="4" fillId="0" borderId="9" xfId="0" applyFont="1" applyBorder="1" applyAlignment="1">
      <alignment horizontal="center"/>
    </xf>
    <xf numFmtId="15" fontId="4" fillId="0" borderId="0" xfId="0" applyFont="1" applyAlignment="1">
      <alignment horizontal="center"/>
    </xf>
    <xf numFmtId="15" fontId="4" fillId="0" borderId="8" xfId="0" applyFont="1" applyBorder="1" applyAlignment="1">
      <alignment horizontal="center"/>
    </xf>
    <xf numFmtId="15" fontId="4" fillId="0" borderId="9" xfId="0" applyFont="1" applyBorder="1"/>
    <xf numFmtId="166" fontId="4" fillId="0" borderId="9" xfId="0" applyNumberFormat="1" applyFont="1" applyBorder="1" applyAlignment="1">
      <alignment horizontal="center"/>
    </xf>
    <xf numFmtId="15" fontId="4" fillId="0" borderId="3" xfId="0" applyFont="1" applyBorder="1" applyAlignment="1">
      <alignment horizontal="center"/>
    </xf>
    <xf numFmtId="15" fontId="4" fillId="0" borderId="10" xfId="0" applyFont="1" applyBorder="1"/>
    <xf numFmtId="15" fontId="4" fillId="0" borderId="2" xfId="0" applyFont="1" applyBorder="1" applyAlignment="1">
      <alignment horizontal="center"/>
    </xf>
    <xf numFmtId="15" fontId="4" fillId="0" borderId="11" xfId="0" applyFont="1" applyBorder="1"/>
    <xf numFmtId="166" fontId="4" fillId="0" borderId="10" xfId="0" applyNumberFormat="1" applyFont="1" applyBorder="1"/>
    <xf numFmtId="166" fontId="4" fillId="0" borderId="3" xfId="0" applyNumberFormat="1" applyFont="1" applyBorder="1" applyAlignment="1">
      <alignment horizontal="center"/>
    </xf>
    <xf numFmtId="168" fontId="4" fillId="0" borderId="12" xfId="0" applyNumberFormat="1" applyFont="1" applyBorder="1"/>
    <xf numFmtId="15" fontId="15" fillId="0" borderId="0" xfId="0" applyFont="1"/>
    <xf numFmtId="15" fontId="4" fillId="0" borderId="13" xfId="0" applyFont="1" applyBorder="1"/>
    <xf numFmtId="168" fontId="4" fillId="0" borderId="14" xfId="0" applyNumberFormat="1" applyFont="1" applyBorder="1"/>
    <xf numFmtId="168" fontId="4" fillId="0" borderId="0" xfId="0" applyNumberFormat="1" applyFont="1"/>
    <xf numFmtId="168" fontId="5" fillId="0" borderId="0" xfId="0" applyNumberFormat="1" applyFont="1"/>
    <xf numFmtId="168" fontId="4" fillId="0" borderId="2" xfId="0" applyNumberFormat="1" applyFont="1" applyBorder="1"/>
    <xf numFmtId="168" fontId="6" fillId="0" borderId="0" xfId="0" applyNumberFormat="1" applyFont="1"/>
    <xf numFmtId="168" fontId="7" fillId="0" borderId="0" xfId="0" applyNumberFormat="1" applyFont="1"/>
    <xf numFmtId="168" fontId="4" fillId="0" borderId="8" xfId="0" applyNumberFormat="1" applyFont="1" applyBorder="1"/>
    <xf numFmtId="168" fontId="4" fillId="0" borderId="0" xfId="0" applyNumberFormat="1" applyFont="1" applyAlignment="1">
      <alignment horizontal="left"/>
    </xf>
    <xf numFmtId="168" fontId="9" fillId="0" borderId="0" xfId="0" applyNumberFormat="1" applyFont="1"/>
    <xf numFmtId="168" fontId="6" fillId="0" borderId="0" xfId="0" applyNumberFormat="1" applyFont="1" applyAlignment="1">
      <alignment horizontal="left"/>
    </xf>
    <xf numFmtId="168" fontId="4" fillId="0" borderId="15" xfId="0" applyNumberFormat="1" applyFont="1" applyBorder="1"/>
    <xf numFmtId="168" fontId="4" fillId="0" borderId="16" xfId="0" applyNumberFormat="1" applyFont="1" applyBorder="1"/>
    <xf numFmtId="168" fontId="4" fillId="0" borderId="17" xfId="0" applyNumberFormat="1" applyFont="1" applyBorder="1"/>
    <xf numFmtId="168" fontId="8" fillId="0" borderId="0" xfId="0" applyNumberFormat="1" applyFont="1"/>
    <xf numFmtId="168" fontId="4" fillId="0" borderId="18" xfId="0" applyNumberFormat="1" applyFont="1" applyBorder="1"/>
    <xf numFmtId="168" fontId="4" fillId="0" borderId="11" xfId="0" applyNumberFormat="1" applyFont="1" applyBorder="1"/>
    <xf numFmtId="170" fontId="4" fillId="0" borderId="19" xfId="0" applyNumberFormat="1" applyFont="1" applyBorder="1"/>
    <xf numFmtId="170" fontId="4" fillId="0" borderId="0" xfId="0" applyNumberFormat="1" applyFont="1"/>
    <xf numFmtId="170" fontId="4" fillId="0" borderId="8" xfId="0" applyNumberFormat="1" applyFont="1" applyBorder="1"/>
    <xf numFmtId="170" fontId="4" fillId="0" borderId="20" xfId="0" applyNumberFormat="1" applyFont="1" applyBorder="1"/>
    <xf numFmtId="170" fontId="4" fillId="0" borderId="14" xfId="0" applyNumberFormat="1" applyFont="1" applyBorder="1"/>
    <xf numFmtId="170" fontId="4" fillId="0" borderId="21" xfId="0" applyNumberFormat="1" applyFont="1" applyBorder="1"/>
    <xf numFmtId="170" fontId="4" fillId="0" borderId="1" xfId="0" applyNumberFormat="1" applyFont="1" applyBorder="1"/>
    <xf numFmtId="170" fontId="4" fillId="0" borderId="22" xfId="0" applyNumberFormat="1" applyFont="1" applyBorder="1"/>
    <xf numFmtId="170" fontId="4" fillId="0" borderId="6" xfId="0" applyNumberFormat="1" applyFont="1" applyBorder="1"/>
    <xf numFmtId="170" fontId="4" fillId="0" borderId="11" xfId="0" applyNumberFormat="1" applyFont="1" applyBorder="1"/>
    <xf numFmtId="170" fontId="4" fillId="0" borderId="23" xfId="0" applyNumberFormat="1" applyFont="1" applyBorder="1"/>
    <xf numFmtId="166" fontId="4" fillId="0" borderId="24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70" fontId="4" fillId="0" borderId="5" xfId="0" applyNumberFormat="1" applyFont="1" applyBorder="1"/>
    <xf numFmtId="170" fontId="4" fillId="0" borderId="26" xfId="0" applyNumberFormat="1" applyFont="1" applyBorder="1"/>
    <xf numFmtId="15" fontId="0" fillId="0" borderId="0" xfId="0" applyAlignment="1">
      <alignment horizontal="center"/>
    </xf>
    <xf numFmtId="15" fontId="4" fillId="0" borderId="4" xfId="0" applyFont="1" applyBorder="1" applyAlignment="1">
      <alignment horizontal="center"/>
    </xf>
    <xf numFmtId="15" fontId="4" fillId="0" borderId="27" xfId="0" applyFont="1" applyBorder="1"/>
    <xf numFmtId="15" fontId="4" fillId="0" borderId="18" xfId="0" applyFont="1" applyBorder="1"/>
    <xf numFmtId="15" fontId="3" fillId="0" borderId="28" xfId="0" applyFont="1" applyBorder="1" applyAlignment="1">
      <alignment horizontal="center"/>
    </xf>
    <xf numFmtId="170" fontId="4" fillId="0" borderId="24" xfId="0" applyNumberFormat="1" applyFont="1" applyBorder="1"/>
    <xf numFmtId="170" fontId="4" fillId="0" borderId="29" xfId="0" applyNumberFormat="1" applyFont="1" applyBorder="1"/>
    <xf numFmtId="170" fontId="4" fillId="0" borderId="30" xfId="0" applyNumberFormat="1" applyFont="1" applyBorder="1"/>
    <xf numFmtId="170" fontId="4" fillId="0" borderId="10" xfId="0" applyNumberFormat="1" applyFont="1" applyBorder="1"/>
    <xf numFmtId="8" fontId="4" fillId="0" borderId="2" xfId="0" applyNumberFormat="1" applyFont="1" applyBorder="1"/>
    <xf numFmtId="8" fontId="4" fillId="0" borderId="0" xfId="0" applyNumberFormat="1" applyFont="1"/>
    <xf numFmtId="15" fontId="4" fillId="0" borderId="31" xfId="0" applyFont="1" applyBorder="1"/>
    <xf numFmtId="15" fontId="4" fillId="0" borderId="32" xfId="0" applyFont="1" applyBorder="1"/>
    <xf numFmtId="170" fontId="4" fillId="0" borderId="33" xfId="0" applyNumberFormat="1" applyFont="1" applyBorder="1"/>
    <xf numFmtId="170" fontId="4" fillId="0" borderId="34" xfId="0" applyNumberFormat="1" applyFont="1" applyBorder="1"/>
    <xf numFmtId="170" fontId="4" fillId="0" borderId="35" xfId="0" applyNumberFormat="1" applyFont="1" applyBorder="1"/>
    <xf numFmtId="170" fontId="4" fillId="0" borderId="36" xfId="0" applyNumberFormat="1" applyFont="1" applyBorder="1"/>
    <xf numFmtId="170" fontId="4" fillId="0" borderId="37" xfId="0" applyNumberFormat="1" applyFont="1" applyBorder="1"/>
    <xf numFmtId="170" fontId="4" fillId="0" borderId="38" xfId="0" applyNumberFormat="1" applyFont="1" applyBorder="1"/>
    <xf numFmtId="167" fontId="4" fillId="0" borderId="10" xfId="0" applyNumberFormat="1" applyFont="1" applyBorder="1" applyAlignment="1">
      <alignment horizontal="center"/>
    </xf>
    <xf numFmtId="15" fontId="4" fillId="0" borderId="7" xfId="0" applyFont="1" applyBorder="1" applyAlignment="1">
      <alignment horizontal="left"/>
    </xf>
    <xf numFmtId="167" fontId="4" fillId="0" borderId="24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70" fontId="4" fillId="0" borderId="39" xfId="0" applyNumberFormat="1" applyFont="1" applyBorder="1"/>
    <xf numFmtId="170" fontId="7" fillId="0" borderId="40" xfId="0" applyNumberFormat="1" applyFont="1" applyBorder="1"/>
    <xf numFmtId="170" fontId="7" fillId="0" borderId="41" xfId="0" applyNumberFormat="1" applyFont="1" applyBorder="1"/>
    <xf numFmtId="170" fontId="3" fillId="0" borderId="6" xfId="0" applyNumberFormat="1" applyFont="1" applyBorder="1" applyAlignment="1">
      <alignment horizontal="center"/>
    </xf>
    <xf numFmtId="170" fontId="4" fillId="0" borderId="42" xfId="0" applyNumberFormat="1" applyFont="1" applyBorder="1"/>
    <xf numFmtId="1" fontId="4" fillId="0" borderId="43" xfId="0" applyNumberFormat="1" applyFont="1" applyBorder="1" applyAlignment="1">
      <alignment horizontal="right"/>
    </xf>
    <xf numFmtId="1" fontId="4" fillId="0" borderId="0" xfId="0" applyNumberFormat="1" applyFont="1"/>
    <xf numFmtId="1" fontId="4" fillId="0" borderId="31" xfId="0" applyNumberFormat="1" applyFont="1" applyBorder="1"/>
    <xf numFmtId="170" fontId="4" fillId="0" borderId="45" xfId="0" applyNumberFormat="1" applyFont="1" applyBorder="1"/>
    <xf numFmtId="170" fontId="4" fillId="0" borderId="46" xfId="0" applyNumberFormat="1" applyFont="1" applyBorder="1"/>
    <xf numFmtId="170" fontId="4" fillId="0" borderId="47" xfId="0" applyNumberFormat="1" applyFont="1" applyBorder="1"/>
    <xf numFmtId="170" fontId="4" fillId="0" borderId="48" xfId="0" applyNumberFormat="1" applyFont="1" applyBorder="1"/>
    <xf numFmtId="1" fontId="4" fillId="0" borderId="6" xfId="0" applyNumberFormat="1" applyFont="1" applyBorder="1"/>
    <xf numFmtId="1" fontId="4" fillId="0" borderId="10" xfId="0" applyNumberFormat="1" applyFont="1" applyBorder="1"/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/>
    <xf numFmtId="1" fontId="4" fillId="0" borderId="49" xfId="0" applyNumberFormat="1" applyFont="1" applyBorder="1"/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/>
    <xf numFmtId="170" fontId="4" fillId="0" borderId="50" xfId="0" applyNumberFormat="1" applyFont="1" applyBorder="1"/>
    <xf numFmtId="170" fontId="4" fillId="0" borderId="51" xfId="0" applyNumberFormat="1" applyFont="1" applyBorder="1"/>
    <xf numFmtId="170" fontId="4" fillId="0" borderId="52" xfId="0" applyNumberFormat="1" applyFont="1" applyBorder="1"/>
    <xf numFmtId="170" fontId="3" fillId="0" borderId="6" xfId="0" applyNumberFormat="1" applyFont="1" applyBorder="1"/>
    <xf numFmtId="8" fontId="4" fillId="0" borderId="24" xfId="0" applyNumberFormat="1" applyFont="1" applyBorder="1"/>
    <xf numFmtId="8" fontId="4" fillId="0" borderId="10" xfId="0" applyNumberFormat="1" applyFont="1" applyBorder="1"/>
    <xf numFmtId="8" fontId="4" fillId="0" borderId="8" xfId="0" applyNumberFormat="1" applyFont="1" applyBorder="1"/>
    <xf numFmtId="170" fontId="4" fillId="0" borderId="53" xfId="0" applyNumberFormat="1" applyFont="1" applyBorder="1"/>
    <xf numFmtId="15" fontId="4" fillId="0" borderId="0" xfId="0" applyFont="1" applyAlignment="1">
      <alignment wrapText="1"/>
    </xf>
    <xf numFmtId="15" fontId="0" fillId="0" borderId="0" xfId="0" applyAlignment="1">
      <alignment wrapText="1"/>
    </xf>
    <xf numFmtId="15" fontId="3" fillId="0" borderId="7" xfId="0" applyFont="1" applyBorder="1" applyAlignment="1">
      <alignment horizontal="center" wrapText="1"/>
    </xf>
    <xf numFmtId="170" fontId="4" fillId="0" borderId="54" xfId="0" applyNumberFormat="1" applyFont="1" applyBorder="1"/>
    <xf numFmtId="170" fontId="3" fillId="0" borderId="55" xfId="0" applyNumberFormat="1" applyFont="1" applyBorder="1" applyAlignment="1">
      <alignment horizontal="left" wrapText="1"/>
    </xf>
    <xf numFmtId="15" fontId="4" fillId="0" borderId="2" xfId="0" applyFont="1" applyBorder="1" applyAlignment="1">
      <alignment horizontal="left" wrapText="1"/>
    </xf>
    <xf numFmtId="170" fontId="4" fillId="0" borderId="55" xfId="0" applyNumberFormat="1" applyFont="1" applyBorder="1" applyAlignment="1">
      <alignment horizontal="left" wrapText="1"/>
    </xf>
    <xf numFmtId="15" fontId="0" fillId="0" borderId="0" xfId="0" applyAlignment="1">
      <alignment horizontal="left"/>
    </xf>
    <xf numFmtId="15" fontId="16" fillId="0" borderId="0" xfId="0" applyFont="1"/>
    <xf numFmtId="170" fontId="4" fillId="0" borderId="56" xfId="0" applyNumberFormat="1" applyFont="1" applyBorder="1"/>
    <xf numFmtId="170" fontId="3" fillId="0" borderId="57" xfId="0" applyNumberFormat="1" applyFont="1" applyBorder="1" applyAlignment="1">
      <alignment horizontal="left" wrapText="1"/>
    </xf>
    <xf numFmtId="15" fontId="4" fillId="0" borderId="52" xfId="0" applyFont="1" applyBorder="1"/>
    <xf numFmtId="15" fontId="4" fillId="0" borderId="58" xfId="0" applyFont="1" applyBorder="1" applyAlignment="1">
      <alignment horizontal="center"/>
    </xf>
    <xf numFmtId="8" fontId="4" fillId="0" borderId="61" xfId="0" applyNumberFormat="1" applyFont="1" applyBorder="1"/>
    <xf numFmtId="8" fontId="4" fillId="0" borderId="22" xfId="0" applyNumberFormat="1" applyFont="1" applyBorder="1"/>
    <xf numFmtId="8" fontId="4" fillId="0" borderId="11" xfId="0" applyNumberFormat="1" applyFont="1" applyBorder="1"/>
    <xf numFmtId="8" fontId="3" fillId="0" borderId="62" xfId="0" applyNumberFormat="1" applyFont="1" applyBorder="1" applyAlignment="1">
      <alignment horizontal="left"/>
    </xf>
    <xf numFmtId="8" fontId="4" fillId="0" borderId="12" xfId="0" applyNumberFormat="1" applyFont="1" applyBorder="1"/>
    <xf numFmtId="15" fontId="4" fillId="0" borderId="60" xfId="0" applyFont="1" applyBorder="1" applyAlignment="1">
      <alignment horizontal="center"/>
    </xf>
    <xf numFmtId="8" fontId="4" fillId="0" borderId="14" xfId="0" applyNumberFormat="1" applyFont="1" applyBorder="1"/>
    <xf numFmtId="15" fontId="17" fillId="0" borderId="0" xfId="0" applyFont="1"/>
    <xf numFmtId="8" fontId="4" fillId="0" borderId="5" xfId="0" applyNumberFormat="1" applyFont="1" applyBorder="1"/>
    <xf numFmtId="8" fontId="4" fillId="0" borderId="6" xfId="0" applyNumberFormat="1" applyFont="1" applyBorder="1"/>
    <xf numFmtId="8" fontId="4" fillId="0" borderId="50" xfId="0" applyNumberFormat="1" applyFont="1" applyBorder="1"/>
    <xf numFmtId="8" fontId="4" fillId="0" borderId="23" xfId="0" applyNumberFormat="1" applyFont="1" applyBorder="1"/>
    <xf numFmtId="166" fontId="4" fillId="0" borderId="4" xfId="0" applyNumberFormat="1" applyFont="1" applyBorder="1" applyAlignment="1">
      <alignment horizontal="center"/>
    </xf>
    <xf numFmtId="15" fontId="4" fillId="0" borderId="25" xfId="0" applyFont="1" applyBorder="1"/>
    <xf numFmtId="166" fontId="4" fillId="0" borderId="66" xfId="0" applyNumberFormat="1" applyFont="1" applyBorder="1"/>
    <xf numFmtId="166" fontId="4" fillId="0" borderId="67" xfId="0" applyNumberFormat="1" applyFont="1" applyBorder="1"/>
    <xf numFmtId="166" fontId="4" fillId="0" borderId="0" xfId="0" applyNumberFormat="1" applyFont="1" applyAlignment="1">
      <alignment horizontal="center"/>
    </xf>
    <xf numFmtId="165" fontId="4" fillId="0" borderId="0" xfId="0" applyNumberFormat="1" applyFont="1"/>
    <xf numFmtId="8" fontId="4" fillId="0" borderId="21" xfId="0" applyNumberFormat="1" applyFont="1" applyBorder="1"/>
    <xf numFmtId="8" fontId="4" fillId="0" borderId="68" xfId="0" applyNumberFormat="1" applyFont="1" applyBorder="1"/>
    <xf numFmtId="8" fontId="7" fillId="0" borderId="40" xfId="0" applyNumberFormat="1" applyFont="1" applyBorder="1"/>
    <xf numFmtId="8" fontId="18" fillId="0" borderId="14" xfId="0" applyNumberFormat="1" applyFont="1" applyBorder="1"/>
    <xf numFmtId="8" fontId="18" fillId="0" borderId="69" xfId="0" applyNumberFormat="1" applyFont="1" applyBorder="1"/>
    <xf numFmtId="8" fontId="18" fillId="0" borderId="0" xfId="0" applyNumberFormat="1" applyFont="1"/>
    <xf numFmtId="8" fontId="7" fillId="0" borderId="41" xfId="0" applyNumberFormat="1" applyFont="1" applyBorder="1"/>
    <xf numFmtId="8" fontId="18" fillId="0" borderId="12" xfId="0" applyNumberFormat="1" applyFont="1" applyBorder="1"/>
    <xf numFmtId="8" fontId="18" fillId="0" borderId="70" xfId="0" applyNumberFormat="1" applyFont="1" applyBorder="1"/>
    <xf numFmtId="8" fontId="3" fillId="0" borderId="71" xfId="0" applyNumberFormat="1" applyFont="1" applyBorder="1" applyAlignment="1">
      <alignment horizontal="left"/>
    </xf>
    <xf numFmtId="8" fontId="4" fillId="0" borderId="36" xfId="0" applyNumberFormat="1" applyFont="1" applyBorder="1"/>
    <xf numFmtId="8" fontId="4" fillId="0" borderId="53" xfId="0" applyNumberFormat="1" applyFont="1" applyBorder="1"/>
    <xf numFmtId="15" fontId="4" fillId="0" borderId="52" xfId="0" applyFont="1" applyBorder="1" applyAlignment="1">
      <alignment horizontal="center"/>
    </xf>
    <xf numFmtId="15" fontId="4" fillId="0" borderId="51" xfId="0" applyFont="1" applyBorder="1" applyAlignment="1">
      <alignment horizontal="center"/>
    </xf>
    <xf numFmtId="15" fontId="4" fillId="0" borderId="72" xfId="0" applyFont="1" applyBorder="1" applyAlignment="1">
      <alignment horizontal="center"/>
    </xf>
    <xf numFmtId="15" fontId="4" fillId="0" borderId="73" xfId="0" applyFont="1" applyBorder="1" applyAlignment="1">
      <alignment horizontal="center"/>
    </xf>
    <xf numFmtId="15" fontId="4" fillId="0" borderId="44" xfId="0" applyFont="1" applyBorder="1" applyAlignment="1">
      <alignment horizontal="center"/>
    </xf>
    <xf numFmtId="15" fontId="4" fillId="0" borderId="74" xfId="0" applyFont="1" applyBorder="1"/>
    <xf numFmtId="15" fontId="4" fillId="0" borderId="75" xfId="0" applyFont="1" applyBorder="1"/>
    <xf numFmtId="8" fontId="4" fillId="0" borderId="77" xfId="0" applyNumberFormat="1" applyFont="1" applyBorder="1"/>
    <xf numFmtId="8" fontId="18" fillId="0" borderId="78" xfId="0" applyNumberFormat="1" applyFont="1" applyBorder="1"/>
    <xf numFmtId="8" fontId="4" fillId="0" borderId="62" xfId="0" applyNumberFormat="1" applyFont="1" applyBorder="1"/>
    <xf numFmtId="8" fontId="4" fillId="0" borderId="79" xfId="0" applyNumberFormat="1" applyFont="1" applyBorder="1"/>
    <xf numFmtId="8" fontId="4" fillId="0" borderId="46" xfId="0" applyNumberFormat="1" applyFont="1" applyBorder="1"/>
    <xf numFmtId="4" fontId="4" fillId="0" borderId="40" xfId="0" applyNumberFormat="1" applyFont="1" applyBorder="1"/>
    <xf numFmtId="4" fontId="4" fillId="0" borderId="80" xfId="0" applyNumberFormat="1" applyFont="1" applyBorder="1"/>
    <xf numFmtId="4" fontId="4" fillId="0" borderId="0" xfId="0" applyNumberFormat="1" applyFont="1"/>
    <xf numFmtId="40" fontId="4" fillId="0" borderId="28" xfId="0" applyNumberFormat="1" applyFont="1" applyBorder="1"/>
    <xf numFmtId="15" fontId="4" fillId="0" borderId="28" xfId="0" applyFont="1" applyBorder="1" applyAlignment="1">
      <alignment horizontal="left"/>
    </xf>
    <xf numFmtId="15" fontId="4" fillId="0" borderId="81" xfId="0" applyFont="1" applyBorder="1"/>
    <xf numFmtId="40" fontId="4" fillId="0" borderId="0" xfId="0" applyNumberFormat="1" applyFont="1"/>
    <xf numFmtId="40" fontId="4" fillId="0" borderId="40" xfId="0" applyNumberFormat="1" applyFont="1" applyBorder="1"/>
    <xf numFmtId="40" fontId="4" fillId="0" borderId="82" xfId="0" applyNumberFormat="1" applyFont="1" applyBorder="1"/>
    <xf numFmtId="40" fontId="4" fillId="0" borderId="19" xfId="0" applyNumberFormat="1" applyFont="1" applyBorder="1"/>
    <xf numFmtId="40" fontId="4" fillId="0" borderId="80" xfId="0" applyNumberFormat="1" applyFont="1" applyBorder="1"/>
    <xf numFmtId="1" fontId="4" fillId="0" borderId="43" xfId="0" applyNumberFormat="1" applyFont="1" applyBorder="1" applyAlignment="1">
      <alignment horizontal="center"/>
    </xf>
    <xf numFmtId="1" fontId="4" fillId="0" borderId="83" xfId="0" applyNumberFormat="1" applyFont="1" applyBorder="1" applyAlignment="1">
      <alignment horizontal="center"/>
    </xf>
    <xf numFmtId="1" fontId="4" fillId="0" borderId="84" xfId="0" applyNumberFormat="1" applyFont="1" applyBorder="1" applyAlignment="1">
      <alignment horizontal="center"/>
    </xf>
    <xf numFmtId="1" fontId="4" fillId="0" borderId="85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4" fillId="0" borderId="8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8" fontId="4" fillId="0" borderId="28" xfId="0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1" fontId="4" fillId="0" borderId="44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1" fontId="4" fillId="0" borderId="49" xfId="0" applyNumberFormat="1" applyFont="1" applyBorder="1" applyAlignment="1">
      <alignment horizontal="left"/>
    </xf>
    <xf numFmtId="15" fontId="21" fillId="0" borderId="0" xfId="0" applyFont="1"/>
    <xf numFmtId="15" fontId="24" fillId="0" borderId="0" xfId="0" applyFont="1"/>
    <xf numFmtId="15" fontId="22" fillId="0" borderId="0" xfId="0" applyFont="1"/>
    <xf numFmtId="15" fontId="16" fillId="0" borderId="0" xfId="0" applyFont="1" applyAlignment="1">
      <alignment wrapText="1"/>
    </xf>
    <xf numFmtId="15" fontId="26" fillId="0" borderId="0" xfId="0" applyFont="1" applyAlignment="1">
      <alignment horizontal="left"/>
    </xf>
    <xf numFmtId="15" fontId="26" fillId="0" borderId="0" xfId="0" applyFont="1"/>
    <xf numFmtId="170" fontId="4" fillId="0" borderId="0" xfId="0" applyNumberFormat="1" applyFont="1" applyAlignment="1">
      <alignment horizontal="center"/>
    </xf>
    <xf numFmtId="15" fontId="4" fillId="0" borderId="0" xfId="0" quotePrefix="1" applyFont="1"/>
    <xf numFmtId="15" fontId="4" fillId="0" borderId="6" xfId="0" applyFont="1" applyBorder="1" applyAlignment="1">
      <alignment horizontal="left" wrapText="1"/>
    </xf>
    <xf numFmtId="15" fontId="4" fillId="0" borderId="11" xfId="0" applyFont="1" applyBorder="1" applyAlignment="1">
      <alignment horizontal="center"/>
    </xf>
    <xf numFmtId="15" fontId="4" fillId="0" borderId="10" xfId="0" applyFont="1" applyBorder="1" applyAlignment="1">
      <alignment horizontal="center"/>
    </xf>
    <xf numFmtId="15" fontId="4" fillId="0" borderId="5" xfId="0" applyFont="1" applyBorder="1" applyAlignment="1">
      <alignment horizontal="center"/>
    </xf>
    <xf numFmtId="170" fontId="4" fillId="0" borderId="70" xfId="0" applyNumberFormat="1" applyFont="1" applyBorder="1"/>
    <xf numFmtId="1" fontId="4" fillId="0" borderId="8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5" fontId="4" fillId="0" borderId="8" xfId="0" applyFont="1" applyBorder="1" applyAlignment="1">
      <alignment horizontal="right"/>
    </xf>
    <xf numFmtId="168" fontId="16" fillId="0" borderId="0" xfId="0" applyNumberFormat="1" applyFont="1"/>
    <xf numFmtId="1" fontId="4" fillId="0" borderId="2" xfId="0" applyNumberFormat="1" applyFont="1" applyBorder="1" applyAlignment="1">
      <alignment horizontal="center"/>
    </xf>
    <xf numFmtId="15" fontId="3" fillId="0" borderId="7" xfId="0" applyFont="1" applyBorder="1" applyAlignment="1">
      <alignment horizontal="left" wrapText="1"/>
    </xf>
    <xf numFmtId="170" fontId="4" fillId="0" borderId="12" xfId="0" applyNumberFormat="1" applyFont="1" applyBorder="1"/>
    <xf numFmtId="167" fontId="4" fillId="0" borderId="11" xfId="0" applyNumberFormat="1" applyFont="1" applyBorder="1" applyAlignment="1">
      <alignment horizontal="center"/>
    </xf>
    <xf numFmtId="15" fontId="22" fillId="0" borderId="0" xfId="0" applyFont="1" applyAlignment="1">
      <alignment horizontal="right"/>
    </xf>
    <xf numFmtId="1" fontId="8" fillId="0" borderId="0" xfId="0" quotePrefix="1" applyNumberFormat="1" applyFont="1"/>
    <xf numFmtId="3" fontId="8" fillId="0" borderId="0" xfId="0" applyNumberFormat="1" applyFont="1"/>
    <xf numFmtId="9" fontId="8" fillId="0" borderId="0" xfId="0" applyNumberFormat="1" applyFont="1"/>
    <xf numFmtId="170" fontId="4" fillId="0" borderId="73" xfId="0" applyNumberFormat="1" applyFont="1" applyBorder="1"/>
    <xf numFmtId="8" fontId="4" fillId="0" borderId="45" xfId="0" applyNumberFormat="1" applyFont="1" applyBorder="1"/>
    <xf numFmtId="1" fontId="16" fillId="0" borderId="84" xfId="0" applyNumberFormat="1" applyFont="1" applyBorder="1" applyAlignment="1">
      <alignment horizontal="center"/>
    </xf>
    <xf numFmtId="168" fontId="4" fillId="0" borderId="46" xfId="0" applyNumberFormat="1" applyFont="1" applyBorder="1"/>
    <xf numFmtId="168" fontId="4" fillId="0" borderId="36" xfId="0" applyNumberFormat="1" applyFont="1" applyBorder="1"/>
    <xf numFmtId="1" fontId="16" fillId="0" borderId="86" xfId="0" applyNumberFormat="1" applyFont="1" applyBorder="1" applyAlignment="1">
      <alignment horizontal="center"/>
    </xf>
    <xf numFmtId="170" fontId="28" fillId="0" borderId="11" xfId="0" applyNumberFormat="1" applyFont="1" applyBorder="1"/>
    <xf numFmtId="170" fontId="28" fillId="0" borderId="5" xfId="0" applyNumberFormat="1" applyFont="1" applyBorder="1"/>
    <xf numFmtId="170" fontId="28" fillId="0" borderId="8" xfId="0" applyNumberFormat="1" applyFont="1" applyBorder="1"/>
    <xf numFmtId="15" fontId="28" fillId="0" borderId="0" xfId="0" applyFont="1"/>
    <xf numFmtId="8" fontId="4" fillId="0" borderId="26" xfId="0" applyNumberFormat="1" applyFont="1" applyBorder="1"/>
    <xf numFmtId="168" fontId="18" fillId="0" borderId="0" xfId="0" applyNumberFormat="1" applyFont="1"/>
    <xf numFmtId="15" fontId="4" fillId="0" borderId="50" xfId="0" applyFont="1" applyBorder="1" applyAlignment="1">
      <alignment horizontal="left" wrapText="1"/>
    </xf>
    <xf numFmtId="15" fontId="4" fillId="0" borderId="57" xfId="0" applyFont="1" applyBorder="1"/>
    <xf numFmtId="8" fontId="4" fillId="0" borderId="19" xfId="0" applyNumberFormat="1" applyFont="1" applyBorder="1"/>
    <xf numFmtId="8" fontId="4" fillId="0" borderId="37" xfId="0" applyNumberFormat="1" applyFont="1" applyBorder="1"/>
    <xf numFmtId="8" fontId="16" fillId="2" borderId="0" xfId="0" applyNumberFormat="1" applyFont="1" applyFill="1"/>
    <xf numFmtId="8" fontId="4" fillId="2" borderId="0" xfId="0" applyNumberFormat="1" applyFont="1" applyFill="1"/>
    <xf numFmtId="168" fontId="4" fillId="2" borderId="0" xfId="0" applyNumberFormat="1" applyFont="1" applyFill="1"/>
    <xf numFmtId="170" fontId="4" fillId="2" borderId="0" xfId="0" applyNumberFormat="1" applyFont="1" applyFill="1"/>
    <xf numFmtId="1" fontId="4" fillId="2" borderId="0" xfId="0" applyNumberFormat="1" applyFont="1" applyFill="1"/>
    <xf numFmtId="15" fontId="16" fillId="2" borderId="5" xfId="0" applyFont="1" applyFill="1" applyBorder="1"/>
    <xf numFmtId="2" fontId="29" fillId="0" borderId="18" xfId="0" applyNumberFormat="1" applyFont="1" applyBorder="1" applyAlignment="1">
      <alignment horizontal="center"/>
    </xf>
    <xf numFmtId="15" fontId="4" fillId="2" borderId="0" xfId="0" applyFont="1" applyFill="1"/>
    <xf numFmtId="8" fontId="4" fillId="2" borderId="43" xfId="0" applyNumberFormat="1" applyFont="1" applyFill="1" applyBorder="1"/>
    <xf numFmtId="8" fontId="16" fillId="2" borderId="18" xfId="0" applyNumberFormat="1" applyFont="1" applyFill="1" applyBorder="1"/>
    <xf numFmtId="8" fontId="4" fillId="2" borderId="18" xfId="0" applyNumberFormat="1" applyFont="1" applyFill="1" applyBorder="1"/>
    <xf numFmtId="167" fontId="16" fillId="2" borderId="5" xfId="0" applyNumberFormat="1" applyFont="1" applyFill="1" applyBorder="1"/>
    <xf numFmtId="167" fontId="4" fillId="2" borderId="10" xfId="0" applyNumberFormat="1" applyFont="1" applyFill="1" applyBorder="1"/>
    <xf numFmtId="167" fontId="4" fillId="2" borderId="0" xfId="0" applyNumberFormat="1" applyFont="1" applyFill="1"/>
    <xf numFmtId="15" fontId="4" fillId="0" borderId="25" xfId="0" applyFont="1" applyBorder="1" applyAlignment="1">
      <alignment horizontal="center"/>
    </xf>
    <xf numFmtId="15" fontId="4" fillId="0" borderId="87" xfId="0" applyFont="1" applyBorder="1" applyAlignment="1">
      <alignment horizontal="center"/>
    </xf>
    <xf numFmtId="15" fontId="0" fillId="0" borderId="6" xfId="0" applyBorder="1" applyAlignment="1">
      <alignment horizontal="center"/>
    </xf>
    <xf numFmtId="170" fontId="4" fillId="0" borderId="49" xfId="0" applyNumberFormat="1" applyFont="1" applyBorder="1"/>
    <xf numFmtId="0" fontId="4" fillId="2" borderId="0" xfId="0" applyNumberFormat="1" applyFont="1" applyFill="1"/>
    <xf numFmtId="1" fontId="16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4" fillId="0" borderId="28" xfId="0" applyNumberFormat="1" applyFont="1" applyBorder="1"/>
    <xf numFmtId="168" fontId="0" fillId="0" borderId="0" xfId="0" applyNumberFormat="1"/>
    <xf numFmtId="168" fontId="4" fillId="0" borderId="2" xfId="0" applyNumberFormat="1" applyFont="1" applyBorder="1" applyAlignment="1">
      <alignment wrapText="1"/>
    </xf>
    <xf numFmtId="168" fontId="0" fillId="0" borderId="0" xfId="0" applyNumberFormat="1" applyAlignment="1">
      <alignment wrapText="1"/>
    </xf>
    <xf numFmtId="168" fontId="16" fillId="0" borderId="0" xfId="0" applyNumberFormat="1" applyFont="1" applyAlignment="1">
      <alignment wrapText="1"/>
    </xf>
    <xf numFmtId="170" fontId="3" fillId="0" borderId="21" xfId="0" applyNumberFormat="1" applyFont="1" applyBorder="1" applyAlignment="1">
      <alignment horizontal="left"/>
    </xf>
    <xf numFmtId="15" fontId="3" fillId="0" borderId="88" xfId="0" applyFont="1" applyBorder="1" applyAlignment="1">
      <alignment horizontal="center"/>
    </xf>
    <xf numFmtId="2" fontId="29" fillId="0" borderId="89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170" fontId="7" fillId="0" borderId="88" xfId="0" applyNumberFormat="1" applyFont="1" applyBorder="1" applyAlignment="1">
      <alignment horizontal="right"/>
    </xf>
    <xf numFmtId="8" fontId="4" fillId="0" borderId="90" xfId="0" applyNumberFormat="1" applyFont="1" applyBorder="1"/>
    <xf numFmtId="167" fontId="4" fillId="2" borderId="11" xfId="0" applyNumberFormat="1" applyFont="1" applyFill="1" applyBorder="1"/>
    <xf numFmtId="8" fontId="4" fillId="0" borderId="91" xfId="0" applyNumberFormat="1" applyFont="1" applyBorder="1"/>
    <xf numFmtId="8" fontId="4" fillId="0" borderId="92" xfId="0" applyNumberFormat="1" applyFont="1" applyBorder="1"/>
    <xf numFmtId="15" fontId="0" fillId="0" borderId="8" xfId="0" applyBorder="1" applyAlignment="1">
      <alignment horizontal="center"/>
    </xf>
    <xf numFmtId="8" fontId="4" fillId="0" borderId="18" xfId="0" applyNumberFormat="1" applyFont="1" applyBorder="1" applyAlignment="1">
      <alignment horizontal="center"/>
    </xf>
    <xf numFmtId="8" fontId="4" fillId="0" borderId="28" xfId="0" applyNumberFormat="1" applyFont="1" applyBorder="1"/>
    <xf numFmtId="8" fontId="4" fillId="0" borderId="1" xfId="0" applyNumberFormat="1" applyFont="1" applyBorder="1"/>
    <xf numFmtId="1" fontId="4" fillId="0" borderId="93" xfId="0" applyNumberFormat="1" applyFont="1" applyBorder="1"/>
    <xf numFmtId="40" fontId="4" fillId="0" borderId="29" xfId="0" applyNumberFormat="1" applyFont="1" applyBorder="1"/>
    <xf numFmtId="168" fontId="4" fillId="0" borderId="0" xfId="0" applyNumberFormat="1" applyFont="1" applyAlignment="1">
      <alignment vertical="center"/>
    </xf>
    <xf numFmtId="168" fontId="4" fillId="0" borderId="8" xfId="0" applyNumberFormat="1" applyFont="1" applyBorder="1" applyAlignment="1">
      <alignment vertical="center"/>
    </xf>
    <xf numFmtId="168" fontId="4" fillId="0" borderId="94" xfId="0" applyNumberFormat="1" applyFont="1" applyBorder="1" applyAlignment="1">
      <alignment vertical="center"/>
    </xf>
    <xf numFmtId="168" fontId="4" fillId="0" borderId="54" xfId="0" applyNumberFormat="1" applyFont="1" applyBorder="1" applyAlignment="1">
      <alignment vertical="center"/>
    </xf>
    <xf numFmtId="168" fontId="4" fillId="0" borderId="95" xfId="0" applyNumberFormat="1" applyFont="1" applyBorder="1" applyAlignment="1">
      <alignment vertical="center"/>
    </xf>
    <xf numFmtId="168" fontId="27" fillId="0" borderId="0" xfId="0" applyNumberFormat="1" applyFont="1" applyAlignment="1">
      <alignment horizontal="left" vertical="center"/>
    </xf>
    <xf numFmtId="168" fontId="4" fillId="0" borderId="44" xfId="0" quotePrefix="1" applyNumberFormat="1" applyFont="1" applyBorder="1" applyAlignment="1">
      <alignment vertical="center"/>
    </xf>
    <xf numFmtId="168" fontId="4" fillId="0" borderId="2" xfId="0" applyNumberFormat="1" applyFont="1" applyBorder="1" applyAlignment="1">
      <alignment vertical="center"/>
    </xf>
    <xf numFmtId="168" fontId="4" fillId="0" borderId="67" xfId="0" quotePrefix="1" applyNumberFormat="1" applyFont="1" applyBorder="1" applyAlignment="1">
      <alignment vertical="center"/>
    </xf>
    <xf numFmtId="168" fontId="3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vertical="center"/>
    </xf>
    <xf numFmtId="166" fontId="8" fillId="0" borderId="0" xfId="0" applyNumberFormat="1" applyFont="1" applyAlignment="1">
      <alignment horizontal="center"/>
    </xf>
    <xf numFmtId="15" fontId="8" fillId="0" borderId="0" xfId="0" applyFont="1"/>
    <xf numFmtId="170" fontId="4" fillId="0" borderId="66" xfId="0" applyNumberFormat="1" applyFont="1" applyBorder="1"/>
    <xf numFmtId="1" fontId="4" fillId="2" borderId="66" xfId="0" applyNumberFormat="1" applyFont="1" applyFill="1" applyBorder="1"/>
    <xf numFmtId="174" fontId="4" fillId="2" borderId="24" xfId="0" applyNumberFormat="1" applyFont="1" applyFill="1" applyBorder="1"/>
    <xf numFmtId="1" fontId="4" fillId="2" borderId="10" xfId="0" applyNumberFormat="1" applyFont="1" applyFill="1" applyBorder="1"/>
    <xf numFmtId="15" fontId="3" fillId="0" borderId="44" xfId="0" applyFont="1" applyBorder="1" applyAlignment="1">
      <alignment horizontal="center" wrapText="1"/>
    </xf>
    <xf numFmtId="15" fontId="4" fillId="0" borderId="96" xfId="0" applyFont="1" applyBorder="1" applyAlignment="1">
      <alignment horizontal="center" wrapText="1"/>
    </xf>
    <xf numFmtId="168" fontId="3" fillId="0" borderId="18" xfId="0" applyNumberFormat="1" applyFont="1" applyBorder="1"/>
    <xf numFmtId="15" fontId="4" fillId="3" borderId="9" xfId="0" applyFont="1" applyFill="1" applyBorder="1" applyAlignment="1" applyProtection="1">
      <alignment horizontal="center"/>
      <protection locked="0"/>
    </xf>
    <xf numFmtId="15" fontId="4" fillId="3" borderId="24" xfId="0" applyFont="1" applyFill="1" applyBorder="1" applyAlignment="1" applyProtection="1">
      <alignment horizontal="center"/>
      <protection locked="0"/>
    </xf>
    <xf numFmtId="1" fontId="4" fillId="3" borderId="10" xfId="0" applyNumberFormat="1" applyFont="1" applyFill="1" applyBorder="1" applyAlignment="1" applyProtection="1">
      <alignment horizontal="center"/>
      <protection locked="0"/>
    </xf>
    <xf numFmtId="1" fontId="4" fillId="3" borderId="24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1" fontId="4" fillId="3" borderId="31" xfId="0" applyNumberFormat="1" applyFont="1" applyFill="1" applyBorder="1" applyAlignment="1" applyProtection="1">
      <alignment horizontal="center"/>
      <protection locked="0"/>
    </xf>
    <xf numFmtId="1" fontId="4" fillId="3" borderId="97" xfId="0" applyNumberFormat="1" applyFont="1" applyFill="1" applyBorder="1" applyAlignment="1" applyProtection="1">
      <alignment horizontal="center"/>
      <protection locked="0"/>
    </xf>
    <xf numFmtId="1" fontId="4" fillId="3" borderId="32" xfId="0" applyNumberFormat="1" applyFont="1" applyFill="1" applyBorder="1" applyAlignment="1" applyProtection="1">
      <alignment horizontal="center"/>
      <protection locked="0"/>
    </xf>
    <xf numFmtId="170" fontId="4" fillId="3" borderId="38" xfId="0" applyNumberFormat="1" applyFont="1" applyFill="1" applyBorder="1" applyProtection="1">
      <protection locked="0"/>
    </xf>
    <xf numFmtId="170" fontId="4" fillId="3" borderId="30" xfId="0" applyNumberFormat="1" applyFont="1" applyFill="1" applyBorder="1" applyProtection="1">
      <protection locked="0"/>
    </xf>
    <xf numFmtId="170" fontId="4" fillId="3" borderId="22" xfId="0" applyNumberFormat="1" applyFont="1" applyFill="1" applyBorder="1" applyProtection="1">
      <protection locked="0"/>
    </xf>
    <xf numFmtId="170" fontId="4" fillId="3" borderId="10" xfId="0" applyNumberFormat="1" applyFont="1" applyFill="1" applyBorder="1" applyProtection="1">
      <protection locked="0"/>
    </xf>
    <xf numFmtId="170" fontId="4" fillId="3" borderId="24" xfId="0" applyNumberFormat="1" applyFont="1" applyFill="1" applyBorder="1" applyProtection="1">
      <protection locked="0"/>
    </xf>
    <xf numFmtId="170" fontId="4" fillId="3" borderId="11" xfId="0" applyNumberFormat="1" applyFont="1" applyFill="1" applyBorder="1" applyProtection="1">
      <protection locked="0"/>
    </xf>
    <xf numFmtId="170" fontId="4" fillId="3" borderId="72" xfId="0" applyNumberFormat="1" applyFont="1" applyFill="1" applyBorder="1" applyProtection="1">
      <protection locked="0"/>
    </xf>
    <xf numFmtId="170" fontId="4" fillId="3" borderId="98" xfId="0" applyNumberFormat="1" applyFont="1" applyFill="1" applyBorder="1" applyProtection="1">
      <protection locked="0"/>
    </xf>
    <xf numFmtId="170" fontId="4" fillId="3" borderId="51" xfId="0" applyNumberFormat="1" applyFont="1" applyFill="1" applyBorder="1" applyProtection="1">
      <protection locked="0"/>
    </xf>
    <xf numFmtId="170" fontId="4" fillId="3" borderId="12" xfId="0" applyNumberFormat="1" applyFont="1" applyFill="1" applyBorder="1" applyProtection="1">
      <protection locked="0"/>
    </xf>
    <xf numFmtId="170" fontId="4" fillId="3" borderId="70" xfId="0" applyNumberFormat="1" applyFont="1" applyFill="1" applyBorder="1" applyProtection="1">
      <protection locked="0"/>
    </xf>
    <xf numFmtId="170" fontId="4" fillId="3" borderId="45" xfId="0" applyNumberFormat="1" applyFont="1" applyFill="1" applyBorder="1" applyProtection="1">
      <protection locked="0"/>
    </xf>
    <xf numFmtId="170" fontId="4" fillId="3" borderId="48" xfId="0" applyNumberFormat="1" applyFont="1" applyFill="1" applyBorder="1" applyProtection="1">
      <protection locked="0"/>
    </xf>
    <xf numFmtId="170" fontId="4" fillId="3" borderId="46" xfId="0" applyNumberFormat="1" applyFont="1" applyFill="1" applyBorder="1" applyProtection="1">
      <protection locked="0"/>
    </xf>
    <xf numFmtId="1" fontId="32" fillId="3" borderId="84" xfId="0" applyNumberFormat="1" applyFont="1" applyFill="1" applyBorder="1" applyAlignment="1" applyProtection="1">
      <alignment horizontal="center"/>
      <protection locked="0"/>
    </xf>
    <xf numFmtId="1" fontId="32" fillId="3" borderId="85" xfId="0" applyNumberFormat="1" applyFont="1" applyFill="1" applyBorder="1" applyAlignment="1" applyProtection="1">
      <alignment horizontal="center"/>
      <protection locked="0"/>
    </xf>
    <xf numFmtId="170" fontId="4" fillId="3" borderId="99" xfId="0" applyNumberFormat="1" applyFont="1" applyFill="1" applyBorder="1" applyProtection="1">
      <protection locked="0"/>
    </xf>
    <xf numFmtId="2" fontId="29" fillId="0" borderId="72" xfId="0" applyNumberFormat="1" applyFont="1" applyBorder="1" applyAlignment="1">
      <alignment horizontal="center"/>
    </xf>
    <xf numFmtId="170" fontId="4" fillId="3" borderId="62" xfId="0" applyNumberFormat="1" applyFont="1" applyFill="1" applyBorder="1" applyProtection="1">
      <protection locked="0"/>
    </xf>
    <xf numFmtId="168" fontId="4" fillId="0" borderId="100" xfId="0" applyNumberFormat="1" applyFont="1" applyBorder="1"/>
    <xf numFmtId="168" fontId="4" fillId="0" borderId="101" xfId="0" applyNumberFormat="1" applyFont="1" applyBorder="1"/>
    <xf numFmtId="168" fontId="4" fillId="0" borderId="102" xfId="0" applyNumberFormat="1" applyFont="1" applyBorder="1"/>
    <xf numFmtId="168" fontId="4" fillId="0" borderId="103" xfId="0" applyNumberFormat="1" applyFont="1" applyBorder="1"/>
    <xf numFmtId="170" fontId="4" fillId="3" borderId="104" xfId="0" applyNumberFormat="1" applyFont="1" applyFill="1" applyBorder="1" applyProtection="1">
      <protection locked="0"/>
    </xf>
    <xf numFmtId="170" fontId="4" fillId="3" borderId="105" xfId="0" applyNumberFormat="1" applyFont="1" applyFill="1" applyBorder="1" applyProtection="1">
      <protection locked="0"/>
    </xf>
    <xf numFmtId="170" fontId="4" fillId="3" borderId="100" xfId="0" applyNumberFormat="1" applyFont="1" applyFill="1" applyBorder="1" applyProtection="1">
      <protection locked="0"/>
    </xf>
    <xf numFmtId="8" fontId="4" fillId="3" borderId="104" xfId="0" applyNumberFormat="1" applyFont="1" applyFill="1" applyBorder="1" applyProtection="1">
      <protection locked="0"/>
    </xf>
    <xf numFmtId="170" fontId="4" fillId="3" borderId="106" xfId="0" applyNumberFormat="1" applyFont="1" applyFill="1" applyBorder="1" applyProtection="1">
      <protection locked="0"/>
    </xf>
    <xf numFmtId="170" fontId="4" fillId="3" borderId="107" xfId="0" applyNumberFormat="1" applyFont="1" applyFill="1" applyBorder="1" applyProtection="1">
      <protection locked="0"/>
    </xf>
    <xf numFmtId="170" fontId="4" fillId="3" borderId="102" xfId="0" applyNumberFormat="1" applyFont="1" applyFill="1" applyBorder="1" applyProtection="1">
      <protection locked="0"/>
    </xf>
    <xf numFmtId="8" fontId="4" fillId="3" borderId="106" xfId="0" applyNumberFormat="1" applyFont="1" applyFill="1" applyBorder="1" applyProtection="1">
      <protection locked="0"/>
    </xf>
    <xf numFmtId="170" fontId="4" fillId="3" borderId="108" xfId="0" applyNumberFormat="1" applyFont="1" applyFill="1" applyBorder="1" applyAlignment="1" applyProtection="1">
      <alignment horizontal="left" wrapText="1"/>
      <protection locked="0"/>
    </xf>
    <xf numFmtId="170" fontId="8" fillId="3" borderId="106" xfId="0" applyNumberFormat="1" applyFont="1" applyFill="1" applyBorder="1" applyProtection="1">
      <protection locked="0"/>
    </xf>
    <xf numFmtId="170" fontId="4" fillId="3" borderId="109" xfId="0" applyNumberFormat="1" applyFont="1" applyFill="1" applyBorder="1" applyAlignment="1" applyProtection="1">
      <alignment horizontal="left" wrapText="1"/>
      <protection locked="0"/>
    </xf>
    <xf numFmtId="170" fontId="4" fillId="3" borderId="110" xfId="0" applyNumberFormat="1" applyFont="1" applyFill="1" applyBorder="1" applyProtection="1">
      <protection locked="0"/>
    </xf>
    <xf numFmtId="170" fontId="4" fillId="3" borderId="111" xfId="0" applyNumberFormat="1" applyFont="1" applyFill="1" applyBorder="1" applyProtection="1">
      <protection locked="0"/>
    </xf>
    <xf numFmtId="170" fontId="4" fillId="3" borderId="112" xfId="0" applyNumberFormat="1" applyFont="1" applyFill="1" applyBorder="1" applyProtection="1">
      <protection locked="0"/>
    </xf>
    <xf numFmtId="170" fontId="4" fillId="3" borderId="19" xfId="0" applyNumberFormat="1" applyFont="1" applyFill="1" applyBorder="1" applyProtection="1">
      <protection locked="0"/>
    </xf>
    <xf numFmtId="170" fontId="4" fillId="3" borderId="14" xfId="0" applyNumberFormat="1" applyFont="1" applyFill="1" applyBorder="1" applyProtection="1">
      <protection locked="0"/>
    </xf>
    <xf numFmtId="170" fontId="4" fillId="0" borderId="40" xfId="0" applyNumberFormat="1" applyFont="1" applyBorder="1" applyAlignment="1">
      <alignment horizontal="right"/>
    </xf>
    <xf numFmtId="15" fontId="0" fillId="0" borderId="23" xfId="0" applyBorder="1" applyAlignment="1">
      <alignment horizontal="right"/>
    </xf>
    <xf numFmtId="15" fontId="4" fillId="0" borderId="13" xfId="0" applyFont="1" applyBorder="1" applyAlignment="1">
      <alignment horizontal="center"/>
    </xf>
    <xf numFmtId="8" fontId="3" fillId="0" borderId="33" xfId="0" applyNumberFormat="1" applyFont="1" applyBorder="1" applyAlignment="1">
      <alignment horizontal="left"/>
    </xf>
    <xf numFmtId="15" fontId="4" fillId="0" borderId="114" xfId="0" applyFont="1" applyBorder="1" applyAlignment="1">
      <alignment horizontal="center"/>
    </xf>
    <xf numFmtId="15" fontId="0" fillId="3" borderId="112" xfId="0" applyFill="1" applyBorder="1" applyAlignment="1" applyProtection="1">
      <alignment horizontal="center"/>
      <protection locked="0"/>
    </xf>
    <xf numFmtId="15" fontId="4" fillId="0" borderId="119" xfId="0" applyFont="1" applyBorder="1" applyAlignment="1">
      <alignment horizontal="right"/>
    </xf>
    <xf numFmtId="15" fontId="4" fillId="0" borderId="120" xfId="0" applyFont="1" applyBorder="1" applyAlignment="1">
      <alignment horizontal="right"/>
    </xf>
    <xf numFmtId="8" fontId="4" fillId="3" borderId="120" xfId="0" applyNumberFormat="1" applyFont="1" applyFill="1" applyBorder="1" applyProtection="1">
      <protection locked="0"/>
    </xf>
    <xf numFmtId="8" fontId="4" fillId="3" borderId="122" xfId="0" applyNumberFormat="1" applyFont="1" applyFill="1" applyBorder="1" applyProtection="1">
      <protection locked="0"/>
    </xf>
    <xf numFmtId="15" fontId="4" fillId="3" borderId="123" xfId="0" applyFont="1" applyFill="1" applyBorder="1" applyAlignment="1" applyProtection="1">
      <alignment horizontal="center"/>
      <protection locked="0"/>
    </xf>
    <xf numFmtId="15" fontId="4" fillId="0" borderId="124" xfId="0" applyFont="1" applyBorder="1" applyAlignment="1">
      <alignment horizontal="right"/>
    </xf>
    <xf numFmtId="167" fontId="4" fillId="3" borderId="125" xfId="0" applyNumberFormat="1" applyFont="1" applyFill="1" applyBorder="1" applyProtection="1">
      <protection locked="0"/>
    </xf>
    <xf numFmtId="167" fontId="4" fillId="3" borderId="126" xfId="0" applyNumberFormat="1" applyFont="1" applyFill="1" applyBorder="1" applyProtection="1">
      <protection locked="0"/>
    </xf>
    <xf numFmtId="8" fontId="4" fillId="3" borderId="127" xfId="0" applyNumberFormat="1" applyFont="1" applyFill="1" applyBorder="1" applyProtection="1">
      <protection locked="0"/>
    </xf>
    <xf numFmtId="8" fontId="4" fillId="0" borderId="128" xfId="0" applyNumberFormat="1" applyFont="1" applyBorder="1"/>
    <xf numFmtId="8" fontId="4" fillId="0" borderId="130" xfId="0" applyNumberFormat="1" applyFont="1" applyBorder="1"/>
    <xf numFmtId="8" fontId="4" fillId="0" borderId="131" xfId="0" applyNumberFormat="1" applyFont="1" applyBorder="1"/>
    <xf numFmtId="8" fontId="4" fillId="0" borderId="132" xfId="0" applyNumberFormat="1" applyFont="1" applyBorder="1"/>
    <xf numFmtId="8" fontId="4" fillId="0" borderId="133" xfId="0" applyNumberFormat="1" applyFont="1" applyBorder="1"/>
    <xf numFmtId="168" fontId="4" fillId="3" borderId="134" xfId="0" applyNumberFormat="1" applyFont="1" applyFill="1" applyBorder="1" applyProtection="1">
      <protection locked="0"/>
    </xf>
    <xf numFmtId="8" fontId="4" fillId="3" borderId="135" xfId="0" applyNumberFormat="1" applyFont="1" applyFill="1" applyBorder="1" applyProtection="1">
      <protection locked="0"/>
    </xf>
    <xf numFmtId="8" fontId="4" fillId="3" borderId="110" xfId="0" applyNumberFormat="1" applyFont="1" applyFill="1" applyBorder="1" applyProtection="1">
      <protection locked="0"/>
    </xf>
    <xf numFmtId="8" fontId="4" fillId="0" borderId="136" xfId="0" applyNumberFormat="1" applyFont="1" applyBorder="1"/>
    <xf numFmtId="8" fontId="4" fillId="0" borderId="137" xfId="0" applyNumberFormat="1" applyFont="1" applyBorder="1"/>
    <xf numFmtId="8" fontId="4" fillId="0" borderId="138" xfId="0" applyNumberFormat="1" applyFont="1" applyBorder="1"/>
    <xf numFmtId="8" fontId="4" fillId="0" borderId="139" xfId="0" applyNumberFormat="1" applyFont="1" applyBorder="1"/>
    <xf numFmtId="8" fontId="4" fillId="3" borderId="140" xfId="0" applyNumberFormat="1" applyFont="1" applyFill="1" applyBorder="1" applyProtection="1">
      <protection locked="0"/>
    </xf>
    <xf numFmtId="167" fontId="4" fillId="3" borderId="141" xfId="0" applyNumberFormat="1" applyFont="1" applyFill="1" applyBorder="1" applyAlignment="1" applyProtection="1">
      <alignment horizontal="center"/>
      <protection locked="0"/>
    </xf>
    <xf numFmtId="168" fontId="4" fillId="0" borderId="119" xfId="0" applyNumberFormat="1" applyFont="1" applyBorder="1"/>
    <xf numFmtId="168" fontId="4" fillId="0" borderId="117" xfId="0" quotePrefix="1" applyNumberFormat="1" applyFont="1" applyBorder="1"/>
    <xf numFmtId="8" fontId="4" fillId="3" borderId="142" xfId="0" quotePrefix="1" applyNumberFormat="1" applyFont="1" applyFill="1" applyBorder="1" applyProtection="1">
      <protection locked="0"/>
    </xf>
    <xf numFmtId="168" fontId="4" fillId="0" borderId="120" xfId="0" applyNumberFormat="1" applyFont="1" applyBorder="1"/>
    <xf numFmtId="3" fontId="4" fillId="0" borderId="143" xfId="0" quotePrefix="1" applyNumberFormat="1" applyFont="1" applyBorder="1" applyAlignment="1">
      <alignment vertical="top"/>
    </xf>
    <xf numFmtId="168" fontId="4" fillId="3" borderId="144" xfId="0" applyNumberFormat="1" applyFont="1" applyFill="1" applyBorder="1" applyAlignment="1" applyProtection="1">
      <alignment vertical="top"/>
      <protection locked="0"/>
    </xf>
    <xf numFmtId="168" fontId="4" fillId="0" borderId="124" xfId="0" applyNumberFormat="1" applyFont="1" applyBorder="1"/>
    <xf numFmtId="168" fontId="4" fillId="0" borderId="145" xfId="0" applyNumberFormat="1" applyFont="1" applyBorder="1"/>
    <xf numFmtId="8" fontId="4" fillId="0" borderId="146" xfId="0" quotePrefix="1" applyNumberFormat="1" applyFont="1" applyBorder="1"/>
    <xf numFmtId="15" fontId="4" fillId="0" borderId="117" xfId="0" applyFont="1" applyBorder="1" applyAlignment="1">
      <alignment horizontal="left"/>
    </xf>
    <xf numFmtId="15" fontId="33" fillId="0" borderId="0" xfId="0" applyFont="1"/>
    <xf numFmtId="15" fontId="33" fillId="0" borderId="0" xfId="0" applyFont="1" applyAlignment="1">
      <alignment vertical="center" wrapText="1"/>
    </xf>
    <xf numFmtId="168" fontId="4" fillId="4" borderId="147" xfId="0" applyNumberFormat="1" applyFont="1" applyFill="1" applyBorder="1" applyProtection="1">
      <protection locked="0"/>
    </xf>
    <xf numFmtId="168" fontId="4" fillId="4" borderId="100" xfId="0" applyNumberFormat="1" applyFont="1" applyFill="1" applyBorder="1" applyProtection="1">
      <protection locked="0"/>
    </xf>
    <xf numFmtId="168" fontId="4" fillId="4" borderId="148" xfId="0" applyNumberFormat="1" applyFont="1" applyFill="1" applyBorder="1" applyProtection="1">
      <protection locked="0"/>
    </xf>
    <xf numFmtId="168" fontId="4" fillId="4" borderId="102" xfId="0" applyNumberFormat="1" applyFont="1" applyFill="1" applyBorder="1" applyProtection="1">
      <protection locked="0"/>
    </xf>
    <xf numFmtId="1" fontId="16" fillId="3" borderId="115" xfId="0" applyNumberFormat="1" applyFont="1" applyFill="1" applyBorder="1" applyAlignment="1" applyProtection="1">
      <alignment horizontal="center"/>
      <protection locked="0"/>
    </xf>
    <xf numFmtId="15" fontId="4" fillId="3" borderId="117" xfId="0" applyFont="1" applyFill="1" applyBorder="1" applyAlignment="1" applyProtection="1">
      <alignment horizontal="center"/>
      <protection locked="0"/>
    </xf>
    <xf numFmtId="167" fontId="4" fillId="3" borderId="126" xfId="0" applyNumberFormat="1" applyFont="1" applyFill="1" applyBorder="1" applyAlignment="1" applyProtection="1">
      <alignment horizontal="center"/>
      <protection locked="0"/>
    </xf>
    <xf numFmtId="8" fontId="4" fillId="3" borderId="149" xfId="0" applyNumberFormat="1" applyFont="1" applyFill="1" applyBorder="1" applyProtection="1">
      <protection locked="0"/>
    </xf>
    <xf numFmtId="8" fontId="4" fillId="3" borderId="129" xfId="0" applyNumberFormat="1" applyFont="1" applyFill="1" applyBorder="1" applyProtection="1">
      <protection locked="0"/>
    </xf>
    <xf numFmtId="8" fontId="4" fillId="3" borderId="132" xfId="0" applyNumberFormat="1" applyFont="1" applyFill="1" applyBorder="1" applyProtection="1">
      <protection locked="0"/>
    </xf>
    <xf numFmtId="8" fontId="4" fillId="3" borderId="125" xfId="0" applyNumberFormat="1" applyFont="1" applyFill="1" applyBorder="1" applyProtection="1">
      <protection locked="0"/>
    </xf>
    <xf numFmtId="8" fontId="4" fillId="3" borderId="126" xfId="0" applyNumberFormat="1" applyFont="1" applyFill="1" applyBorder="1" applyProtection="1">
      <protection locked="0"/>
    </xf>
    <xf numFmtId="15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Protection="1">
      <protection locked="0"/>
    </xf>
    <xf numFmtId="167" fontId="4" fillId="0" borderId="0" xfId="0" applyNumberFormat="1" applyFont="1"/>
    <xf numFmtId="170" fontId="4" fillId="0" borderId="0" xfId="0" applyNumberFormat="1" applyFont="1" applyProtection="1"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5" fontId="4" fillId="0" borderId="150" xfId="0" applyFont="1" applyBorder="1"/>
    <xf numFmtId="166" fontId="4" fillId="0" borderId="24" xfId="0" applyNumberFormat="1" applyFont="1" applyBorder="1"/>
    <xf numFmtId="4" fontId="4" fillId="0" borderId="29" xfId="0" applyNumberFormat="1" applyFont="1" applyBorder="1"/>
    <xf numFmtId="15" fontId="0" fillId="0" borderId="151" xfId="0" applyBorder="1" applyAlignment="1" applyProtection="1">
      <alignment horizontal="center"/>
      <protection locked="0"/>
    </xf>
    <xf numFmtId="170" fontId="4" fillId="0" borderId="82" xfId="0" applyNumberFormat="1" applyFont="1" applyBorder="1" applyProtection="1">
      <protection locked="0"/>
    </xf>
    <xf numFmtId="1" fontId="32" fillId="3" borderId="83" xfId="0" applyNumberFormat="1" applyFont="1" applyFill="1" applyBorder="1" applyAlignment="1" applyProtection="1">
      <alignment horizontal="center"/>
      <protection locked="0"/>
    </xf>
    <xf numFmtId="15" fontId="4" fillId="0" borderId="66" xfId="0" applyFont="1" applyBorder="1"/>
    <xf numFmtId="170" fontId="4" fillId="0" borderId="152" xfId="0" applyNumberFormat="1" applyFont="1" applyBorder="1" applyProtection="1">
      <protection locked="0"/>
    </xf>
    <xf numFmtId="168" fontId="4" fillId="0" borderId="31" xfId="0" applyNumberFormat="1" applyFont="1" applyBorder="1"/>
    <xf numFmtId="168" fontId="4" fillId="0" borderId="32" xfId="0" applyNumberFormat="1" applyFont="1" applyBorder="1"/>
    <xf numFmtId="168" fontId="4" fillId="0" borderId="153" xfId="0" applyNumberFormat="1" applyFont="1" applyBorder="1"/>
    <xf numFmtId="168" fontId="4" fillId="4" borderId="70" xfId="0" applyNumberFormat="1" applyFont="1" applyFill="1" applyBorder="1" applyProtection="1">
      <protection locked="0"/>
    </xf>
    <xf numFmtId="168" fontId="4" fillId="4" borderId="12" xfId="0" applyNumberFormat="1" applyFont="1" applyFill="1" applyBorder="1" applyProtection="1">
      <protection locked="0"/>
    </xf>
    <xf numFmtId="168" fontId="4" fillId="0" borderId="154" xfId="0" applyNumberFormat="1" applyFont="1" applyBorder="1"/>
    <xf numFmtId="1" fontId="34" fillId="3" borderId="84" xfId="0" applyNumberFormat="1" applyFont="1" applyFill="1" applyBorder="1" applyAlignment="1" applyProtection="1">
      <alignment horizontal="center"/>
      <protection locked="0"/>
    </xf>
    <xf numFmtId="170" fontId="4" fillId="0" borderId="11" xfId="0" applyNumberFormat="1" applyFont="1" applyBorder="1" applyProtection="1">
      <protection locked="0"/>
    </xf>
    <xf numFmtId="170" fontId="4" fillId="0" borderId="5" xfId="0" applyNumberFormat="1" applyFont="1" applyBorder="1" applyProtection="1">
      <protection locked="0"/>
    </xf>
    <xf numFmtId="170" fontId="4" fillId="0" borderId="8" xfId="0" applyNumberFormat="1" applyFont="1" applyBorder="1" applyProtection="1">
      <protection locked="0"/>
    </xf>
    <xf numFmtId="15" fontId="0" fillId="0" borderId="0" xfId="0" applyProtection="1">
      <protection locked="0"/>
    </xf>
    <xf numFmtId="1" fontId="4" fillId="2" borderId="24" xfId="0" applyNumberFormat="1" applyFont="1" applyFill="1" applyBorder="1"/>
    <xf numFmtId="170" fontId="4" fillId="0" borderId="72" xfId="0" applyNumberFormat="1" applyFont="1" applyBorder="1"/>
    <xf numFmtId="170" fontId="4" fillId="0" borderId="84" xfId="0" applyNumberFormat="1" applyFont="1" applyBorder="1"/>
    <xf numFmtId="2" fontId="29" fillId="0" borderId="52" xfId="0" applyNumberFormat="1" applyFont="1" applyBorder="1" applyAlignment="1">
      <alignment horizontal="center"/>
    </xf>
    <xf numFmtId="15" fontId="7" fillId="0" borderId="0" xfId="0" applyFont="1"/>
    <xf numFmtId="15" fontId="34" fillId="0" borderId="0" xfId="0" applyFont="1"/>
    <xf numFmtId="168" fontId="3" fillId="0" borderId="0" xfId="0" applyNumberFormat="1" applyFont="1" applyAlignment="1">
      <alignment vertical="center"/>
    </xf>
    <xf numFmtId="15" fontId="0" fillId="0" borderId="6" xfId="0" applyBorder="1" applyAlignment="1">
      <alignment horizontal="right"/>
    </xf>
    <xf numFmtId="170" fontId="4" fillId="0" borderId="55" xfId="0" applyNumberFormat="1" applyFont="1" applyBorder="1"/>
    <xf numFmtId="168" fontId="3" fillId="0" borderId="5" xfId="0" applyNumberFormat="1" applyFont="1" applyBorder="1" applyAlignment="1">
      <alignment vertical="center"/>
    </xf>
    <xf numFmtId="168" fontId="3" fillId="0" borderId="18" xfId="0" applyNumberFormat="1" applyFont="1" applyBorder="1" applyAlignment="1">
      <alignment vertical="center"/>
    </xf>
    <xf numFmtId="168" fontId="3" fillId="0" borderId="13" xfId="0" applyNumberFormat="1" applyFont="1" applyBorder="1" applyAlignment="1">
      <alignment vertical="center"/>
    </xf>
    <xf numFmtId="8" fontId="0" fillId="3" borderId="121" xfId="0" applyNumberFormat="1" applyFill="1" applyBorder="1" applyProtection="1">
      <protection locked="0"/>
    </xf>
    <xf numFmtId="15" fontId="0" fillId="3" borderId="155" xfId="0" applyFill="1" applyBorder="1" applyAlignment="1" applyProtection="1">
      <alignment horizontal="center"/>
      <protection locked="0"/>
    </xf>
    <xf numFmtId="170" fontId="4" fillId="3" borderId="80" xfId="0" applyNumberFormat="1" applyFont="1" applyFill="1" applyBorder="1" applyProtection="1">
      <protection locked="0"/>
    </xf>
    <xf numFmtId="15" fontId="4" fillId="3" borderId="116" xfId="0" applyFont="1" applyFill="1" applyBorder="1" applyAlignment="1" applyProtection="1">
      <alignment horizontal="center"/>
      <protection locked="0"/>
    </xf>
    <xf numFmtId="15" fontId="4" fillId="3" borderId="115" xfId="0" applyFont="1" applyFill="1" applyBorder="1" applyAlignment="1" applyProtection="1">
      <alignment horizontal="center"/>
      <protection locked="0"/>
    </xf>
    <xf numFmtId="15" fontId="0" fillId="3" borderId="157" xfId="0" applyFill="1" applyBorder="1" applyAlignment="1" applyProtection="1">
      <alignment horizontal="center"/>
      <protection locked="0"/>
    </xf>
    <xf numFmtId="15" fontId="0" fillId="3" borderId="158" xfId="0" applyFill="1" applyBorder="1" applyAlignment="1" applyProtection="1">
      <alignment horizontal="center"/>
      <protection locked="0"/>
    </xf>
    <xf numFmtId="15" fontId="0" fillId="3" borderId="115" xfId="0" applyFill="1" applyBorder="1" applyAlignment="1" applyProtection="1">
      <alignment horizontal="center"/>
      <protection locked="0"/>
    </xf>
    <xf numFmtId="15" fontId="0" fillId="3" borderId="118" xfId="0" applyFill="1" applyBorder="1" applyAlignment="1" applyProtection="1">
      <alignment horizontal="center"/>
      <protection locked="0"/>
    </xf>
    <xf numFmtId="6" fontId="41" fillId="0" borderId="159" xfId="22" applyNumberFormat="1" applyFont="1" applyBorder="1" applyAlignment="1">
      <alignment horizontal="right" vertical="center"/>
    </xf>
    <xf numFmtId="169" fontId="41" fillId="0" borderId="159" xfId="21" applyNumberFormat="1" applyFont="1" applyBorder="1" applyAlignment="1">
      <alignment horizontal="right" vertical="center" wrapText="1"/>
    </xf>
    <xf numFmtId="168" fontId="4" fillId="0" borderId="26" xfId="0" applyNumberFormat="1" applyFont="1" applyBorder="1" applyAlignment="1">
      <alignment vertical="center"/>
    </xf>
    <xf numFmtId="168" fontId="4" fillId="0" borderId="11" xfId="0" applyNumberFormat="1" applyFont="1" applyBorder="1" applyAlignment="1">
      <alignment horizontal="right" vertical="center"/>
    </xf>
    <xf numFmtId="168" fontId="0" fillId="0" borderId="22" xfId="0" applyNumberFormat="1" applyBorder="1"/>
    <xf numFmtId="3" fontId="0" fillId="0" borderId="152" xfId="0" applyNumberFormat="1" applyBorder="1"/>
    <xf numFmtId="0" fontId="41" fillId="0" borderId="134" xfId="20" applyFont="1" applyBorder="1" applyAlignment="1">
      <alignment horizontal="center" vertical="top"/>
    </xf>
    <xf numFmtId="3" fontId="0" fillId="0" borderId="160" xfId="0" applyNumberFormat="1" applyBorder="1"/>
    <xf numFmtId="3" fontId="0" fillId="0" borderId="151" xfId="0" applyNumberFormat="1" applyBorder="1"/>
    <xf numFmtId="3" fontId="0" fillId="0" borderId="114" xfId="0" applyNumberFormat="1" applyBorder="1"/>
    <xf numFmtId="3" fontId="0" fillId="0" borderId="134" xfId="0" applyNumberFormat="1" applyBorder="1" applyAlignment="1">
      <alignment horizontal="center"/>
    </xf>
    <xf numFmtId="3" fontId="0" fillId="0" borderId="134" xfId="0" applyNumberFormat="1" applyBorder="1"/>
    <xf numFmtId="15" fontId="0" fillId="3" borderId="9" xfId="0" applyFill="1" applyBorder="1" applyAlignment="1" applyProtection="1">
      <alignment horizontal="center"/>
      <protection locked="0"/>
    </xf>
    <xf numFmtId="170" fontId="0" fillId="3" borderId="108" xfId="0" applyNumberFormat="1" applyFill="1" applyBorder="1" applyAlignment="1" applyProtection="1">
      <alignment horizontal="left" wrapText="1"/>
      <protection locked="0"/>
    </xf>
    <xf numFmtId="170" fontId="0" fillId="0" borderId="52" xfId="0" applyNumberFormat="1" applyBorder="1"/>
    <xf numFmtId="168" fontId="0" fillId="3" borderId="142" xfId="0" applyNumberFormat="1" applyFill="1" applyBorder="1" applyProtection="1">
      <protection locked="0"/>
    </xf>
    <xf numFmtId="170" fontId="7" fillId="0" borderId="0" xfId="0" applyNumberFormat="1" applyFont="1"/>
    <xf numFmtId="15" fontId="0" fillId="3" borderId="123" xfId="0" applyFill="1" applyBorder="1" applyAlignment="1" applyProtection="1">
      <alignment horizontal="center"/>
      <protection locked="0"/>
    </xf>
    <xf numFmtId="15" fontId="4" fillId="0" borderId="9" xfId="0" applyFont="1" applyBorder="1" applyAlignment="1" applyProtection="1">
      <alignment horizontal="center"/>
      <protection locked="0"/>
    </xf>
    <xf numFmtId="1" fontId="4" fillId="0" borderId="10" xfId="0" applyNumberFormat="1" applyFont="1" applyBorder="1" applyAlignment="1" applyProtection="1">
      <alignment horizontal="center"/>
      <protection locked="0"/>
    </xf>
    <xf numFmtId="1" fontId="4" fillId="0" borderId="31" xfId="0" applyNumberFormat="1" applyFont="1" applyBorder="1" applyAlignment="1" applyProtection="1">
      <alignment horizontal="center"/>
      <protection locked="0"/>
    </xf>
    <xf numFmtId="167" fontId="4" fillId="0" borderId="10" xfId="0" applyNumberFormat="1" applyFont="1" applyBorder="1"/>
    <xf numFmtId="170" fontId="4" fillId="0" borderId="38" xfId="0" applyNumberFormat="1" applyFont="1" applyBorder="1" applyProtection="1">
      <protection locked="0"/>
    </xf>
    <xf numFmtId="170" fontId="4" fillId="0" borderId="10" xfId="0" applyNumberFormat="1" applyFont="1" applyBorder="1" applyProtection="1">
      <protection locked="0"/>
    </xf>
    <xf numFmtId="170" fontId="4" fillId="0" borderId="72" xfId="0" applyNumberFormat="1" applyFont="1" applyBorder="1" applyProtection="1">
      <protection locked="0"/>
    </xf>
    <xf numFmtId="2" fontId="29" fillId="0" borderId="90" xfId="0" applyNumberFormat="1" applyFont="1" applyBorder="1" applyAlignment="1">
      <alignment horizontal="center"/>
    </xf>
    <xf numFmtId="170" fontId="4" fillId="0" borderId="70" xfId="0" applyNumberFormat="1" applyFont="1" applyBorder="1" applyProtection="1">
      <protection locked="0"/>
    </xf>
    <xf numFmtId="170" fontId="4" fillId="0" borderId="45" xfId="0" applyNumberFormat="1" applyFont="1" applyBorder="1" applyProtection="1">
      <protection locked="0"/>
    </xf>
    <xf numFmtId="1" fontId="4" fillId="0" borderId="11" xfId="0" applyNumberFormat="1" applyFont="1" applyBorder="1" applyAlignment="1" applyProtection="1">
      <alignment horizontal="center"/>
      <protection locked="0"/>
    </xf>
    <xf numFmtId="1" fontId="4" fillId="0" borderId="32" xfId="0" applyNumberFormat="1" applyFont="1" applyBorder="1" applyAlignment="1" applyProtection="1">
      <alignment horizontal="center"/>
      <protection locked="0"/>
    </xf>
    <xf numFmtId="167" fontId="4" fillId="0" borderId="11" xfId="0" applyNumberFormat="1" applyFont="1" applyBorder="1"/>
    <xf numFmtId="170" fontId="4" fillId="0" borderId="22" xfId="0" applyNumberFormat="1" applyFont="1" applyBorder="1" applyProtection="1">
      <protection locked="0"/>
    </xf>
    <xf numFmtId="170" fontId="4" fillId="0" borderId="51" xfId="0" applyNumberFormat="1" applyFont="1" applyBorder="1" applyProtection="1">
      <protection locked="0"/>
    </xf>
    <xf numFmtId="2" fontId="29" fillId="0" borderId="91" xfId="0" applyNumberFormat="1" applyFont="1" applyBorder="1" applyAlignment="1">
      <alignment horizontal="center"/>
    </xf>
    <xf numFmtId="170" fontId="4" fillId="0" borderId="12" xfId="0" applyNumberFormat="1" applyFont="1" applyBorder="1" applyProtection="1">
      <protection locked="0"/>
    </xf>
    <xf numFmtId="2" fontId="29" fillId="0" borderId="51" xfId="0" applyNumberFormat="1" applyFont="1" applyBorder="1" applyAlignment="1">
      <alignment horizontal="center"/>
    </xf>
    <xf numFmtId="170" fontId="4" fillId="0" borderId="46" xfId="0" applyNumberFormat="1" applyFont="1" applyBorder="1" applyProtection="1">
      <protection locked="0"/>
    </xf>
    <xf numFmtId="15" fontId="4" fillId="0" borderId="150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" fontId="4" fillId="0" borderId="97" xfId="0" applyNumberFormat="1" applyFont="1" applyBorder="1" applyAlignment="1">
      <alignment horizontal="center"/>
    </xf>
    <xf numFmtId="167" fontId="4" fillId="2" borderId="24" xfId="0" applyNumberFormat="1" applyFont="1" applyFill="1" applyBorder="1"/>
    <xf numFmtId="170" fontId="4" fillId="0" borderId="99" xfId="0" applyNumberFormat="1" applyFont="1" applyBorder="1"/>
    <xf numFmtId="8" fontId="4" fillId="0" borderId="30" xfId="0" applyNumberFormat="1" applyFont="1" applyBorder="1"/>
    <xf numFmtId="8" fontId="4" fillId="0" borderId="29" xfId="0" applyNumberFormat="1" applyFont="1" applyBorder="1"/>
    <xf numFmtId="8" fontId="4" fillId="0" borderId="34" xfId="0" applyNumberFormat="1" applyFont="1" applyBorder="1"/>
    <xf numFmtId="1" fontId="32" fillId="3" borderId="161" xfId="0" applyNumberFormat="1" applyFont="1" applyFill="1" applyBorder="1" applyAlignment="1" applyProtection="1">
      <alignment horizontal="center"/>
      <protection locked="0"/>
    </xf>
    <xf numFmtId="15" fontId="4" fillId="0" borderId="10" xfId="0" applyFont="1" applyBorder="1" applyAlignment="1" applyProtection="1">
      <alignment horizontal="center"/>
      <protection locked="0"/>
    </xf>
    <xf numFmtId="15" fontId="4" fillId="0" borderId="72" xfId="0" applyFont="1" applyBorder="1"/>
    <xf numFmtId="2" fontId="29" fillId="0" borderId="31" xfId="0" applyNumberFormat="1" applyFont="1" applyBorder="1" applyAlignment="1">
      <alignment horizontal="center"/>
    </xf>
    <xf numFmtId="15" fontId="3" fillId="0" borderId="0" xfId="0" applyFont="1" applyAlignment="1">
      <alignment horizontal="left" wrapText="1"/>
    </xf>
    <xf numFmtId="15" fontId="0" fillId="0" borderId="0" xfId="0" applyAlignment="1">
      <alignment horizontal="right"/>
    </xf>
    <xf numFmtId="15" fontId="0" fillId="0" borderId="0" xfId="0" quotePrefix="1" applyAlignment="1">
      <alignment horizontal="center"/>
    </xf>
    <xf numFmtId="170" fontId="4" fillId="0" borderId="0" xfId="0" applyNumberFormat="1" applyFont="1" applyAlignment="1" applyProtection="1">
      <alignment horizontal="left" wrapText="1"/>
      <protection locked="0"/>
    </xf>
    <xf numFmtId="170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1" fontId="34" fillId="0" borderId="0" xfId="0" applyNumberFormat="1" applyFont="1" applyAlignment="1" applyProtection="1">
      <alignment horizontal="center"/>
      <protection locked="0"/>
    </xf>
    <xf numFmtId="1" fontId="32" fillId="0" borderId="0" xfId="0" applyNumberFormat="1" applyFont="1" applyAlignment="1" applyProtection="1">
      <alignment horizontal="center"/>
      <protection locked="0"/>
    </xf>
    <xf numFmtId="170" fontId="0" fillId="0" borderId="0" xfId="0" applyNumberFormat="1" applyAlignment="1" applyProtection="1">
      <alignment horizontal="left" wrapText="1"/>
      <protection locked="0"/>
    </xf>
    <xf numFmtId="170" fontId="4" fillId="0" borderId="19" xfId="0" applyNumberFormat="1" applyFont="1" applyBorder="1" applyProtection="1">
      <protection locked="0"/>
    </xf>
    <xf numFmtId="170" fontId="0" fillId="0" borderId="6" xfId="0" applyNumberFormat="1" applyBorder="1" applyAlignment="1">
      <alignment horizontal="right"/>
    </xf>
    <xf numFmtId="175" fontId="0" fillId="0" borderId="8" xfId="0" applyNumberFormat="1" applyBorder="1" applyAlignment="1">
      <alignment horizontal="center"/>
    </xf>
    <xf numFmtId="15" fontId="0" fillId="3" borderId="117" xfId="0" applyFill="1" applyBorder="1" applyAlignment="1" applyProtection="1">
      <alignment horizontal="left"/>
      <protection locked="0"/>
    </xf>
    <xf numFmtId="8" fontId="0" fillId="3" borderId="156" xfId="0" applyNumberFormat="1" applyFill="1" applyBorder="1" applyProtection="1">
      <protection locked="0"/>
    </xf>
    <xf numFmtId="168" fontId="4" fillId="4" borderId="99" xfId="0" applyNumberFormat="1" applyFont="1" applyFill="1" applyBorder="1" applyProtection="1">
      <protection locked="0"/>
    </xf>
    <xf numFmtId="168" fontId="4" fillId="0" borderId="97" xfId="0" applyNumberFormat="1" applyFont="1" applyBorder="1"/>
    <xf numFmtId="168" fontId="4" fillId="0" borderId="162" xfId="0" applyNumberFormat="1" applyFont="1" applyBorder="1" applyAlignment="1">
      <alignment wrapText="1"/>
    </xf>
    <xf numFmtId="168" fontId="0" fillId="0" borderId="162" xfId="0" applyNumberFormat="1" applyBorder="1" applyAlignment="1">
      <alignment wrapText="1"/>
    </xf>
    <xf numFmtId="168" fontId="4" fillId="0" borderId="78" xfId="0" applyNumberFormat="1" applyFont="1" applyBorder="1" applyAlignment="1">
      <alignment wrapText="1"/>
    </xf>
    <xf numFmtId="168" fontId="3" fillId="0" borderId="49" xfId="0" applyNumberFormat="1" applyFont="1" applyBorder="1" applyAlignment="1">
      <alignment wrapText="1"/>
    </xf>
    <xf numFmtId="170" fontId="4" fillId="3" borderId="163" xfId="0" applyNumberFormat="1" applyFont="1" applyFill="1" applyBorder="1" applyAlignment="1" applyProtection="1">
      <alignment horizontal="left" wrapText="1"/>
      <protection locked="0"/>
    </xf>
    <xf numFmtId="170" fontId="4" fillId="3" borderId="164" xfId="0" applyNumberFormat="1" applyFont="1" applyFill="1" applyBorder="1" applyProtection="1">
      <protection locked="0"/>
    </xf>
    <xf numFmtId="170" fontId="4" fillId="3" borderId="165" xfId="0" applyNumberFormat="1" applyFont="1" applyFill="1" applyBorder="1" applyProtection="1">
      <protection locked="0"/>
    </xf>
    <xf numFmtId="170" fontId="4" fillId="3" borderId="145" xfId="0" applyNumberFormat="1" applyFont="1" applyFill="1" applyBorder="1" applyProtection="1">
      <protection locked="0"/>
    </xf>
    <xf numFmtId="1" fontId="4" fillId="2" borderId="11" xfId="0" applyNumberFormat="1" applyFont="1" applyFill="1" applyBorder="1"/>
    <xf numFmtId="8" fontId="4" fillId="0" borderId="89" xfId="0" applyNumberFormat="1" applyFont="1" applyBorder="1"/>
    <xf numFmtId="15" fontId="0" fillId="0" borderId="3" xfId="0" applyBorder="1" applyAlignment="1" applyProtection="1">
      <alignment horizontal="center"/>
      <protection locked="0"/>
    </xf>
    <xf numFmtId="15" fontId="4" fillId="0" borderId="166" xfId="0" applyFont="1" applyBorder="1"/>
    <xf numFmtId="15" fontId="0" fillId="0" borderId="0" xfId="0" applyAlignment="1">
      <alignment vertical="center"/>
    </xf>
    <xf numFmtId="170" fontId="4" fillId="3" borderId="167" xfId="0" applyNumberFormat="1" applyFont="1" applyFill="1" applyBorder="1" applyAlignment="1" applyProtection="1">
      <alignment horizontal="left" wrapText="1"/>
      <protection locked="0"/>
    </xf>
    <xf numFmtId="170" fontId="4" fillId="3" borderId="140" xfId="0" applyNumberFormat="1" applyFont="1" applyFill="1" applyBorder="1" applyProtection="1">
      <protection locked="0"/>
    </xf>
    <xf numFmtId="170" fontId="4" fillId="3" borderId="168" xfId="0" applyNumberFormat="1" applyFont="1" applyFill="1" applyBorder="1" applyProtection="1">
      <protection locked="0"/>
    </xf>
    <xf numFmtId="170" fontId="4" fillId="3" borderId="169" xfId="0" applyNumberFormat="1" applyFont="1" applyFill="1" applyBorder="1" applyProtection="1">
      <protection locked="0"/>
    </xf>
    <xf numFmtId="170" fontId="4" fillId="0" borderId="140" xfId="0" applyNumberFormat="1" applyFont="1" applyBorder="1" applyProtection="1">
      <protection locked="0"/>
    </xf>
    <xf numFmtId="170" fontId="4" fillId="0" borderId="170" xfId="0" applyNumberFormat="1" applyFont="1" applyBorder="1" applyProtection="1">
      <protection locked="0"/>
    </xf>
    <xf numFmtId="170" fontId="4" fillId="0" borderId="122" xfId="0" applyNumberFormat="1" applyFont="1" applyBorder="1" applyProtection="1">
      <protection locked="0"/>
    </xf>
    <xf numFmtId="15" fontId="0" fillId="0" borderId="169" xfId="0" applyBorder="1" applyProtection="1">
      <protection locked="0"/>
    </xf>
    <xf numFmtId="168" fontId="5" fillId="2" borderId="0" xfId="0" applyNumberFormat="1" applyFont="1" applyFill="1" applyAlignment="1">
      <alignment vertical="center"/>
    </xf>
    <xf numFmtId="168" fontId="4" fillId="2" borderId="0" xfId="0" applyNumberFormat="1" applyFont="1" applyFill="1" applyAlignment="1">
      <alignment vertical="center"/>
    </xf>
    <xf numFmtId="168" fontId="31" fillId="2" borderId="0" xfId="0" applyNumberFormat="1" applyFont="1" applyFill="1" applyAlignment="1">
      <alignment vertical="center"/>
    </xf>
    <xf numFmtId="15" fontId="31" fillId="2" borderId="0" xfId="0" applyFont="1" applyFill="1" applyAlignment="1">
      <alignment vertical="center"/>
    </xf>
    <xf numFmtId="168" fontId="21" fillId="0" borderId="0" xfId="0" applyNumberFormat="1" applyFont="1" applyAlignment="1">
      <alignment vertical="center"/>
    </xf>
    <xf numFmtId="1" fontId="19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8" fontId="20" fillId="0" borderId="0" xfId="0" applyNumberFormat="1" applyFont="1" applyAlignment="1">
      <alignment vertical="center"/>
    </xf>
    <xf numFmtId="168" fontId="9" fillId="0" borderId="0" xfId="0" applyNumberFormat="1" applyFont="1" applyAlignment="1">
      <alignment vertical="center"/>
    </xf>
    <xf numFmtId="15" fontId="9" fillId="0" borderId="0" xfId="0" applyFont="1" applyAlignment="1">
      <alignment vertical="center"/>
    </xf>
    <xf numFmtId="171" fontId="22" fillId="0" borderId="0" xfId="0" applyNumberFormat="1" applyFont="1" applyAlignment="1">
      <alignment horizontal="right" vertical="center"/>
    </xf>
    <xf numFmtId="168" fontId="25" fillId="0" borderId="0" xfId="0" applyNumberFormat="1" applyFont="1" applyAlignment="1">
      <alignment vertical="center"/>
    </xf>
    <xf numFmtId="168" fontId="15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168" fontId="4" fillId="0" borderId="44" xfId="0" applyNumberFormat="1" applyFont="1" applyBorder="1" applyAlignment="1">
      <alignment vertical="center"/>
    </xf>
    <xf numFmtId="168" fontId="4" fillId="0" borderId="4" xfId="0" applyNumberFormat="1" applyFont="1" applyBorder="1" applyAlignment="1">
      <alignment vertical="center"/>
    </xf>
    <xf numFmtId="15" fontId="4" fillId="0" borderId="2" xfId="0" applyFont="1" applyBorder="1" applyAlignment="1">
      <alignment vertical="center"/>
    </xf>
    <xf numFmtId="8" fontId="4" fillId="0" borderId="4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39" fillId="0" borderId="0" xfId="0" applyNumberFormat="1" applyFont="1" applyAlignment="1">
      <alignment horizontal="right" vertical="center"/>
    </xf>
    <xf numFmtId="168" fontId="6" fillId="0" borderId="171" xfId="0" applyNumberFormat="1" applyFont="1" applyBorder="1" applyAlignment="1">
      <alignment vertical="center"/>
    </xf>
    <xf numFmtId="8" fontId="4" fillId="0" borderId="5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5" fillId="0" borderId="171" xfId="0" applyNumberFormat="1" applyFont="1" applyBorder="1" applyAlignment="1">
      <alignment vertical="center"/>
    </xf>
    <xf numFmtId="168" fontId="4" fillId="0" borderId="172" xfId="0" applyNumberFormat="1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8" fontId="4" fillId="0" borderId="69" xfId="0" applyNumberFormat="1" applyFont="1" applyBorder="1" applyAlignment="1">
      <alignment vertical="center"/>
    </xf>
    <xf numFmtId="168" fontId="4" fillId="0" borderId="8" xfId="0" applyNumberFormat="1" applyFont="1" applyBorder="1" applyAlignment="1">
      <alignment horizontal="left" vertical="center"/>
    </xf>
    <xf numFmtId="168" fontId="0" fillId="0" borderId="0" xfId="0" applyNumberFormat="1" applyAlignment="1">
      <alignment vertical="center"/>
    </xf>
    <xf numFmtId="8" fontId="5" fillId="0" borderId="173" xfId="0" applyNumberFormat="1" applyFont="1" applyBorder="1" applyAlignment="1">
      <alignment vertical="center"/>
    </xf>
    <xf numFmtId="168" fontId="18" fillId="0" borderId="0" xfId="0" applyNumberFormat="1" applyFont="1" applyAlignment="1">
      <alignment vertical="center"/>
    </xf>
    <xf numFmtId="15" fontId="41" fillId="0" borderId="8" xfId="0" applyFont="1" applyBorder="1" applyAlignment="1">
      <alignment vertical="center"/>
    </xf>
    <xf numFmtId="168" fontId="4" fillId="0" borderId="5" xfId="0" applyNumberFormat="1" applyFont="1" applyBorder="1" applyAlignment="1">
      <alignment vertical="center"/>
    </xf>
    <xf numFmtId="168" fontId="4" fillId="0" borderId="61" xfId="0" applyNumberFormat="1" applyFont="1" applyBorder="1" applyAlignment="1">
      <alignment vertical="center"/>
    </xf>
    <xf numFmtId="168" fontId="4" fillId="0" borderId="1" xfId="0" applyNumberFormat="1" applyFont="1" applyBorder="1" applyAlignment="1">
      <alignment vertical="center"/>
    </xf>
    <xf numFmtId="168" fontId="4" fillId="0" borderId="68" xfId="0" applyNumberFormat="1" applyFont="1" applyBorder="1" applyAlignment="1">
      <alignment vertical="center"/>
    </xf>
    <xf numFmtId="168" fontId="6" fillId="0" borderId="174" xfId="0" applyNumberFormat="1" applyFont="1" applyBorder="1" applyAlignment="1">
      <alignment vertical="center"/>
    </xf>
    <xf numFmtId="168" fontId="0" fillId="0" borderId="96" xfId="0" applyNumberFormat="1" applyBorder="1" applyAlignment="1">
      <alignment vertical="center"/>
    </xf>
    <xf numFmtId="8" fontId="4" fillId="0" borderId="5" xfId="0" quotePrefix="1" applyNumberFormat="1" applyFont="1" applyBorder="1" applyAlignment="1">
      <alignment vertical="center"/>
    </xf>
    <xf numFmtId="168" fontId="4" fillId="0" borderId="15" xfId="0" applyNumberFormat="1" applyFont="1" applyBorder="1" applyAlignment="1">
      <alignment vertical="center"/>
    </xf>
    <xf numFmtId="168" fontId="4" fillId="0" borderId="16" xfId="0" applyNumberFormat="1" applyFont="1" applyBorder="1" applyAlignment="1">
      <alignment vertical="center"/>
    </xf>
    <xf numFmtId="168" fontId="4" fillId="0" borderId="17" xfId="0" applyNumberFormat="1" applyFont="1" applyBorder="1" applyAlignment="1">
      <alignment vertical="center"/>
    </xf>
    <xf numFmtId="172" fontId="4" fillId="0" borderId="0" xfId="0" applyNumberFormat="1" applyFont="1" applyAlignment="1">
      <alignment vertical="center"/>
    </xf>
    <xf numFmtId="168" fontId="8" fillId="0" borderId="0" xfId="0" applyNumberFormat="1" applyFont="1" applyAlignment="1">
      <alignment vertical="center"/>
    </xf>
    <xf numFmtId="168" fontId="4" fillId="0" borderId="7" xfId="0" applyNumberFormat="1" applyFont="1" applyBorder="1" applyAlignment="1">
      <alignment vertical="center"/>
    </xf>
    <xf numFmtId="1" fontId="4" fillId="0" borderId="8" xfId="0" quotePrefix="1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168" fontId="4" fillId="0" borderId="175" xfId="0" applyNumberFormat="1" applyFont="1" applyBorder="1" applyAlignment="1">
      <alignment vertical="center"/>
    </xf>
    <xf numFmtId="168" fontId="4" fillId="0" borderId="18" xfId="0" applyNumberFormat="1" applyFont="1" applyBorder="1" applyAlignment="1">
      <alignment vertical="center"/>
    </xf>
    <xf numFmtId="1" fontId="4" fillId="0" borderId="175" xfId="0" quotePrefix="1" applyNumberFormat="1" applyFont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8" fontId="4" fillId="0" borderId="56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68" fontId="4" fillId="0" borderId="3" xfId="0" applyNumberFormat="1" applyFont="1" applyBorder="1" applyAlignment="1">
      <alignment vertical="center"/>
    </xf>
    <xf numFmtId="168" fontId="4" fillId="0" borderId="176" xfId="0" applyNumberFormat="1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8" fontId="4" fillId="0" borderId="14" xfId="0" applyNumberFormat="1" applyFont="1" applyBorder="1" applyAlignment="1">
      <alignment vertical="center"/>
    </xf>
    <xf numFmtId="168" fontId="4" fillId="0" borderId="14" xfId="0" applyNumberFormat="1" applyFont="1" applyBorder="1" applyAlignment="1">
      <alignment vertical="center"/>
    </xf>
    <xf numFmtId="8" fontId="4" fillId="0" borderId="11" xfId="0" applyNumberFormat="1" applyFont="1" applyBorder="1" applyAlignment="1">
      <alignment vertical="center"/>
    </xf>
    <xf numFmtId="168" fontId="4" fillId="0" borderId="69" xfId="0" quotePrefix="1" applyNumberFormat="1" applyFont="1" applyBorder="1" applyAlignment="1">
      <alignment horizontal="right" vertical="center"/>
    </xf>
    <xf numFmtId="168" fontId="4" fillId="0" borderId="11" xfId="0" applyNumberFormat="1" applyFont="1" applyBorder="1" applyAlignment="1">
      <alignment vertical="center"/>
    </xf>
    <xf numFmtId="168" fontId="4" fillId="0" borderId="5" xfId="0" applyNumberFormat="1" applyFont="1" applyBorder="1" applyAlignment="1">
      <alignment horizontal="right" vertical="center"/>
    </xf>
    <xf numFmtId="173" fontId="4" fillId="0" borderId="0" xfId="0" applyNumberFormat="1" applyFont="1" applyAlignment="1">
      <alignment vertical="center"/>
    </xf>
    <xf numFmtId="168" fontId="4" fillId="0" borderId="177" xfId="0" quotePrefix="1" applyNumberFormat="1" applyFont="1" applyBorder="1" applyAlignment="1">
      <alignment vertical="center"/>
    </xf>
    <xf numFmtId="168" fontId="4" fillId="0" borderId="178" xfId="0" quotePrefix="1" applyNumberFormat="1" applyFont="1" applyBorder="1" applyAlignment="1">
      <alignment vertical="center"/>
    </xf>
    <xf numFmtId="168" fontId="4" fillId="0" borderId="62" xfId="0" applyNumberFormat="1" applyFont="1" applyBorder="1" applyAlignment="1">
      <alignment vertical="center"/>
    </xf>
    <xf numFmtId="168" fontId="4" fillId="0" borderId="42" xfId="0" applyNumberFormat="1" applyFont="1" applyBorder="1" applyAlignment="1">
      <alignment vertical="center"/>
    </xf>
    <xf numFmtId="168" fontId="4" fillId="0" borderId="12" xfId="0" applyNumberFormat="1" applyFont="1" applyBorder="1" applyAlignment="1">
      <alignment vertical="center"/>
    </xf>
    <xf numFmtId="8" fontId="4" fillId="0" borderId="12" xfId="0" applyNumberFormat="1" applyFont="1" applyBorder="1" applyAlignment="1">
      <alignment vertical="center"/>
    </xf>
    <xf numFmtId="168" fontId="4" fillId="0" borderId="78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right" vertical="center"/>
    </xf>
    <xf numFmtId="168" fontId="4" fillId="0" borderId="22" xfId="0" applyNumberFormat="1" applyFont="1" applyBorder="1" applyAlignment="1">
      <alignment vertical="center"/>
    </xf>
    <xf numFmtId="8" fontId="4" fillId="0" borderId="22" xfId="0" applyNumberFormat="1" applyFont="1" applyBorder="1" applyAlignment="1">
      <alignment vertical="center"/>
    </xf>
    <xf numFmtId="168" fontId="9" fillId="0" borderId="0" xfId="0" applyNumberFormat="1" applyFont="1" applyAlignment="1">
      <alignment horizontal="left" vertical="center"/>
    </xf>
    <xf numFmtId="168" fontId="4" fillId="0" borderId="24" xfId="0" applyNumberFormat="1" applyFont="1" applyBorder="1" applyAlignment="1">
      <alignment vertical="center"/>
    </xf>
    <xf numFmtId="168" fontId="4" fillId="0" borderId="64" xfId="0" applyNumberFormat="1" applyFont="1" applyBorder="1" applyAlignment="1">
      <alignment vertical="center"/>
    </xf>
    <xf numFmtId="8" fontId="4" fillId="0" borderId="26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vertical="center"/>
    </xf>
    <xf numFmtId="168" fontId="16" fillId="0" borderId="0" xfId="0" applyNumberFormat="1" applyFont="1" applyAlignment="1">
      <alignment vertical="center"/>
    </xf>
    <xf numFmtId="168" fontId="4" fillId="0" borderId="58" xfId="0" applyNumberFormat="1" applyFont="1" applyBorder="1" applyAlignment="1">
      <alignment vertical="center"/>
    </xf>
    <xf numFmtId="168" fontId="4" fillId="0" borderId="69" xfId="0" applyNumberFormat="1" applyFont="1" applyBorder="1" applyAlignment="1">
      <alignment horizontal="right" vertical="center"/>
    </xf>
    <xf numFmtId="169" fontId="9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168" fontId="4" fillId="0" borderId="179" xfId="0" applyNumberFormat="1" applyFont="1" applyBorder="1" applyAlignment="1">
      <alignment vertical="center"/>
    </xf>
    <xf numFmtId="168" fontId="4" fillId="0" borderId="58" xfId="0" quotePrefix="1" applyNumberFormat="1" applyFont="1" applyBorder="1" applyAlignment="1">
      <alignment vertical="center"/>
    </xf>
    <xf numFmtId="168" fontId="4" fillId="0" borderId="10" xfId="0" applyNumberFormat="1" applyFont="1" applyBorder="1" applyAlignment="1">
      <alignment vertical="center"/>
    </xf>
    <xf numFmtId="168" fontId="4" fillId="0" borderId="5" xfId="0" quotePrefix="1" applyNumberFormat="1" applyFont="1" applyBorder="1" applyAlignment="1">
      <alignment horizontal="right" vertical="center"/>
    </xf>
    <xf numFmtId="168" fontId="9" fillId="0" borderId="0" xfId="0" applyNumberFormat="1" applyFont="1" applyAlignment="1">
      <alignment horizontal="right" vertical="center"/>
    </xf>
    <xf numFmtId="168" fontId="4" fillId="0" borderId="177" xfId="0" applyNumberFormat="1" applyFont="1" applyBorder="1" applyAlignment="1">
      <alignment vertical="center"/>
    </xf>
    <xf numFmtId="168" fontId="4" fillId="0" borderId="113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horizontal="left" vertical="center"/>
    </xf>
    <xf numFmtId="168" fontId="13" fillId="0" borderId="0" xfId="0" applyNumberFormat="1" applyFont="1" applyAlignment="1">
      <alignment vertical="center"/>
    </xf>
    <xf numFmtId="8" fontId="4" fillId="0" borderId="181" xfId="0" applyNumberFormat="1" applyFont="1" applyBorder="1" applyAlignment="1">
      <alignment vertical="center"/>
    </xf>
    <xf numFmtId="8" fontId="9" fillId="0" borderId="0" xfId="0" applyNumberFormat="1" applyFont="1" applyAlignment="1">
      <alignment vertical="center"/>
    </xf>
    <xf numFmtId="168" fontId="4" fillId="0" borderId="11" xfId="0" quotePrefix="1" applyNumberFormat="1" applyFont="1" applyBorder="1" applyAlignment="1">
      <alignment vertical="center"/>
    </xf>
    <xf numFmtId="168" fontId="4" fillId="0" borderId="6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center" vertical="center"/>
    </xf>
    <xf numFmtId="8" fontId="4" fillId="0" borderId="67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right" vertical="center"/>
    </xf>
    <xf numFmtId="168" fontId="2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8" fontId="10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4" fillId="0" borderId="27" xfId="0" applyNumberFormat="1" applyFont="1" applyBorder="1" applyAlignment="1">
      <alignment vertical="center"/>
    </xf>
    <xf numFmtId="168" fontId="4" fillId="0" borderId="67" xfId="0" applyNumberFormat="1" applyFont="1" applyBorder="1" applyAlignment="1">
      <alignment vertical="center"/>
    </xf>
    <xf numFmtId="168" fontId="4" fillId="0" borderId="49" xfId="0" applyNumberFormat="1" applyFont="1" applyBorder="1" applyAlignment="1">
      <alignment vertical="center"/>
    </xf>
    <xf numFmtId="8" fontId="18" fillId="0" borderId="0" xfId="0" applyNumberFormat="1" applyFont="1" applyAlignment="1">
      <alignment vertical="center"/>
    </xf>
    <xf numFmtId="168" fontId="0" fillId="0" borderId="8" xfId="0" quotePrefix="1" applyNumberFormat="1" applyBorder="1" applyAlignment="1">
      <alignment vertical="center"/>
    </xf>
    <xf numFmtId="8" fontId="4" fillId="0" borderId="183" xfId="0" applyNumberFormat="1" applyFont="1" applyBorder="1" applyAlignment="1">
      <alignment vertical="center"/>
    </xf>
    <xf numFmtId="168" fontId="4" fillId="0" borderId="0" xfId="0" quotePrefix="1" applyNumberFormat="1" applyFont="1" applyAlignment="1">
      <alignment vertical="center"/>
    </xf>
    <xf numFmtId="8" fontId="4" fillId="0" borderId="0" xfId="0" applyNumberFormat="1" applyFont="1" applyAlignment="1">
      <alignment vertical="center"/>
    </xf>
    <xf numFmtId="170" fontId="0" fillId="5" borderId="19" xfId="0" applyNumberFormat="1" applyFill="1" applyBorder="1" applyProtection="1">
      <protection locked="0"/>
    </xf>
    <xf numFmtId="170" fontId="0" fillId="5" borderId="154" xfId="0" applyNumberFormat="1" applyFill="1" applyBorder="1" applyProtection="1">
      <protection locked="0"/>
    </xf>
    <xf numFmtId="8" fontId="4" fillId="0" borderId="0" xfId="0" applyNumberFormat="1" applyFont="1" applyAlignment="1">
      <alignment horizontal="right" vertical="center"/>
    </xf>
    <xf numFmtId="168" fontId="0" fillId="0" borderId="8" xfId="0" applyNumberFormat="1" applyBorder="1" applyAlignment="1">
      <alignment vertical="center"/>
    </xf>
    <xf numFmtId="15" fontId="30" fillId="0" borderId="0" xfId="0" applyFont="1" applyAlignment="1">
      <alignment horizontal="right"/>
    </xf>
    <xf numFmtId="15" fontId="17" fillId="0" borderId="0" xfId="0" applyFont="1" applyAlignment="1">
      <alignment horizontal="right"/>
    </xf>
    <xf numFmtId="15" fontId="43" fillId="0" borderId="0" xfId="0" applyFont="1"/>
    <xf numFmtId="170" fontId="4" fillId="5" borderId="46" xfId="0" applyNumberFormat="1" applyFont="1" applyFill="1" applyBorder="1" applyProtection="1">
      <protection locked="0"/>
    </xf>
    <xf numFmtId="174" fontId="4" fillId="2" borderId="0" xfId="0" applyNumberFormat="1" applyFont="1" applyFill="1"/>
    <xf numFmtId="167" fontId="4" fillId="2" borderId="5" xfId="0" applyNumberFormat="1" applyFont="1" applyFill="1" applyBorder="1"/>
    <xf numFmtId="1" fontId="4" fillId="2" borderId="5" xfId="0" applyNumberFormat="1" applyFont="1" applyFill="1" applyBorder="1"/>
    <xf numFmtId="174" fontId="4" fillId="2" borderId="5" xfId="0" applyNumberFormat="1" applyFont="1" applyFill="1" applyBorder="1"/>
    <xf numFmtId="8" fontId="18" fillId="0" borderId="172" xfId="0" applyNumberFormat="1" applyFont="1" applyBorder="1"/>
    <xf numFmtId="1" fontId="4" fillId="0" borderId="61" xfId="0" applyNumberFormat="1" applyFont="1" applyBorder="1" applyAlignment="1">
      <alignment horizontal="center"/>
    </xf>
    <xf numFmtId="170" fontId="0" fillId="3" borderId="167" xfId="0" applyNumberFormat="1" applyFill="1" applyBorder="1" applyAlignment="1" applyProtection="1">
      <alignment horizontal="left" wrapText="1"/>
      <protection locked="0"/>
    </xf>
    <xf numFmtId="170" fontId="0" fillId="0" borderId="19" xfId="0" applyNumberFormat="1" applyBorder="1"/>
    <xf numFmtId="15" fontId="0" fillId="0" borderId="9" xfId="0" applyBorder="1" applyAlignment="1">
      <alignment horizontal="center"/>
    </xf>
    <xf numFmtId="168" fontId="4" fillId="0" borderId="173" xfId="0" applyNumberFormat="1" applyFont="1" applyBorder="1" applyAlignment="1">
      <alignment vertical="center"/>
    </xf>
    <xf numFmtId="15" fontId="0" fillId="2" borderId="0" xfId="0" applyFill="1" applyAlignment="1">
      <alignment vertical="center"/>
    </xf>
    <xf numFmtId="15" fontId="4" fillId="5" borderId="24" xfId="0" applyFont="1" applyFill="1" applyBorder="1" applyAlignment="1">
      <alignment horizontal="center"/>
    </xf>
    <xf numFmtId="8" fontId="4" fillId="0" borderId="54" xfId="0" applyNumberFormat="1" applyFont="1" applyBorder="1" applyAlignment="1">
      <alignment vertical="center"/>
    </xf>
    <xf numFmtId="8" fontId="4" fillId="0" borderId="39" xfId="0" applyNumberFormat="1" applyFont="1" applyBorder="1" applyAlignment="1">
      <alignment vertical="center"/>
    </xf>
    <xf numFmtId="168" fontId="0" fillId="5" borderId="0" xfId="0" applyNumberFormat="1" applyFill="1" applyAlignment="1">
      <alignment vertical="center"/>
    </xf>
    <xf numFmtId="168" fontId="0" fillId="0" borderId="180" xfId="0" applyNumberFormat="1" applyBorder="1" applyAlignment="1">
      <alignment vertical="center"/>
    </xf>
    <xf numFmtId="168" fontId="5" fillId="0" borderId="0" xfId="0" applyNumberFormat="1" applyFont="1" applyAlignment="1">
      <alignment horizontal="left" vertical="center"/>
    </xf>
    <xf numFmtId="168" fontId="0" fillId="0" borderId="175" xfId="0" applyNumberFormat="1" applyBorder="1" applyAlignment="1">
      <alignment vertical="center"/>
    </xf>
    <xf numFmtId="168" fontId="44" fillId="0" borderId="0" xfId="0" applyNumberFormat="1" applyFont="1" applyAlignment="1">
      <alignment vertical="center"/>
    </xf>
    <xf numFmtId="1" fontId="0" fillId="0" borderId="15" xfId="0" applyNumberFormat="1" applyBorder="1" applyAlignment="1">
      <alignment horizontal="right"/>
    </xf>
    <xf numFmtId="170" fontId="0" fillId="3" borderId="163" xfId="0" applyNumberFormat="1" applyFill="1" applyBorder="1" applyAlignment="1" applyProtection="1">
      <alignment horizontal="left" wrapText="1"/>
      <protection locked="0"/>
    </xf>
    <xf numFmtId="168" fontId="0" fillId="0" borderId="44" xfId="0" applyNumberFormat="1" applyBorder="1" applyAlignment="1">
      <alignment vertical="center"/>
    </xf>
    <xf numFmtId="0" fontId="7" fillId="0" borderId="0" xfId="22" applyFont="1" applyAlignment="1">
      <alignment vertical="center"/>
    </xf>
    <xf numFmtId="0" fontId="41" fillId="0" borderId="0" xfId="21" applyFont="1" applyAlignment="1">
      <alignment vertical="center"/>
    </xf>
    <xf numFmtId="0" fontId="4" fillId="0" borderId="8" xfId="21" applyFont="1" applyBorder="1" applyAlignment="1">
      <alignment vertical="center"/>
    </xf>
    <xf numFmtId="168" fontId="46" fillId="0" borderId="162" xfId="0" applyNumberFormat="1" applyFont="1" applyBorder="1" applyAlignment="1">
      <alignment wrapText="1"/>
    </xf>
    <xf numFmtId="168" fontId="0" fillId="0" borderId="16" xfId="0" applyNumberFormat="1" applyBorder="1" applyAlignment="1">
      <alignment horizontal="right" wrapText="1"/>
    </xf>
    <xf numFmtId="8" fontId="9" fillId="0" borderId="57" xfId="0" applyNumberFormat="1" applyFont="1" applyBorder="1" applyAlignment="1">
      <alignment vertical="center"/>
    </xf>
    <xf numFmtId="8" fontId="7" fillId="0" borderId="0" xfId="0" applyNumberFormat="1" applyFont="1" applyAlignment="1">
      <alignment horizontal="right" vertical="center"/>
    </xf>
    <xf numFmtId="8" fontId="3" fillId="5" borderId="62" xfId="0" applyNumberFormat="1" applyFont="1" applyFill="1" applyBorder="1" applyAlignment="1">
      <alignment horizontal="left"/>
    </xf>
    <xf numFmtId="8" fontId="4" fillId="5" borderId="12" xfId="0" applyNumberFormat="1" applyFont="1" applyFill="1" applyBorder="1"/>
    <xf numFmtId="8" fontId="4" fillId="5" borderId="63" xfId="0" applyNumberFormat="1" applyFont="1" applyFill="1" applyBorder="1"/>
    <xf numFmtId="8" fontId="4" fillId="5" borderId="76" xfId="0" applyNumberFormat="1" applyFont="1" applyFill="1" applyBorder="1"/>
    <xf numFmtId="8" fontId="4" fillId="5" borderId="64" xfId="0" applyNumberFormat="1" applyFont="1" applyFill="1" applyBorder="1"/>
    <xf numFmtId="8" fontId="4" fillId="5" borderId="0" xfId="0" applyNumberFormat="1" applyFont="1" applyFill="1"/>
    <xf numFmtId="168" fontId="47" fillId="5" borderId="0" xfId="0" applyNumberFormat="1" applyFont="1" applyFill="1" applyAlignment="1">
      <alignment horizontal="left" vertical="center"/>
    </xf>
    <xf numFmtId="168" fontId="48" fillId="5" borderId="0" xfId="0" applyNumberFormat="1" applyFont="1" applyFill="1" applyAlignment="1">
      <alignment vertical="center"/>
    </xf>
    <xf numFmtId="8" fontId="4" fillId="3" borderId="147" xfId="0" applyNumberFormat="1" applyFont="1" applyFill="1" applyBorder="1" applyProtection="1">
      <protection locked="0"/>
    </xf>
    <xf numFmtId="8" fontId="4" fillId="3" borderId="184" xfId="0" applyNumberFormat="1" applyFont="1" applyFill="1" applyBorder="1" applyProtection="1">
      <protection locked="0"/>
    </xf>
    <xf numFmtId="8" fontId="4" fillId="3" borderId="148" xfId="0" applyNumberFormat="1" applyFont="1" applyFill="1" applyBorder="1" applyProtection="1">
      <protection locked="0"/>
    </xf>
    <xf numFmtId="8" fontId="4" fillId="3" borderId="185" xfId="0" applyNumberFormat="1" applyFont="1" applyFill="1" applyBorder="1" applyProtection="1">
      <protection locked="0"/>
    </xf>
    <xf numFmtId="15" fontId="0" fillId="0" borderId="65" xfId="0" applyBorder="1" applyAlignment="1">
      <alignment horizontal="center"/>
    </xf>
    <xf numFmtId="168" fontId="0" fillId="0" borderId="103" xfId="0" applyNumberFormat="1" applyBorder="1" applyAlignment="1">
      <alignment wrapText="1"/>
    </xf>
    <xf numFmtId="168" fontId="4" fillId="0" borderId="0" xfId="0" applyNumberFormat="1" applyFont="1" applyAlignment="1">
      <alignment wrapText="1"/>
    </xf>
    <xf numFmtId="168" fontId="18" fillId="0" borderId="0" xfId="0" applyNumberFormat="1" applyFont="1" applyAlignment="1">
      <alignment wrapText="1"/>
    </xf>
    <xf numFmtId="4" fontId="0" fillId="0" borderId="0" xfId="0" applyNumberFormat="1"/>
    <xf numFmtId="15" fontId="4" fillId="5" borderId="0" xfId="0" applyFont="1" applyFill="1"/>
    <xf numFmtId="0" fontId="4" fillId="5" borderId="0" xfId="0" applyNumberFormat="1" applyFont="1" applyFill="1"/>
    <xf numFmtId="170" fontId="4" fillId="5" borderId="28" xfId="0" applyNumberFormat="1" applyFont="1" applyFill="1" applyBorder="1"/>
    <xf numFmtId="168" fontId="0" fillId="0" borderId="0" xfId="0" quotePrefix="1" applyNumberFormat="1" applyAlignment="1">
      <alignment vertical="center"/>
    </xf>
    <xf numFmtId="170" fontId="45" fillId="0" borderId="6" xfId="0" applyNumberFormat="1" applyFont="1" applyBorder="1"/>
    <xf numFmtId="168" fontId="4" fillId="0" borderId="2" xfId="0" applyNumberFormat="1" applyFont="1" applyBorder="1" applyAlignment="1">
      <alignment horizontal="left" vertical="center"/>
    </xf>
    <xf numFmtId="168" fontId="0" fillId="5" borderId="181" xfId="0" applyNumberFormat="1" applyFill="1" applyBorder="1" applyAlignment="1">
      <alignment vertical="center"/>
    </xf>
    <xf numFmtId="170" fontId="0" fillId="0" borderId="0" xfId="0" applyNumberFormat="1"/>
    <xf numFmtId="168" fontId="4" fillId="5" borderId="14" xfId="0" applyNumberFormat="1" applyFont="1" applyFill="1" applyBorder="1" applyAlignment="1">
      <alignment vertical="center"/>
    </xf>
    <xf numFmtId="168" fontId="4" fillId="5" borderId="11" xfId="0" applyNumberFormat="1" applyFont="1" applyFill="1" applyBorder="1" applyAlignment="1">
      <alignment vertical="center"/>
    </xf>
    <xf numFmtId="168" fontId="4" fillId="5" borderId="10" xfId="0" applyNumberFormat="1" applyFont="1" applyFill="1" applyBorder="1" applyAlignment="1">
      <alignment vertical="center"/>
    </xf>
    <xf numFmtId="168" fontId="4" fillId="5" borderId="177" xfId="0" quotePrefix="1" applyNumberFormat="1" applyFont="1" applyFill="1" applyBorder="1" applyAlignment="1">
      <alignment vertical="center"/>
    </xf>
    <xf numFmtId="168" fontId="4" fillId="5" borderId="178" xfId="0" quotePrefix="1" applyNumberFormat="1" applyFont="1" applyFill="1" applyBorder="1" applyAlignment="1">
      <alignment vertical="center"/>
    </xf>
    <xf numFmtId="168" fontId="4" fillId="5" borderId="178" xfId="0" applyNumberFormat="1" applyFont="1" applyFill="1" applyBorder="1" applyAlignment="1">
      <alignment vertical="center"/>
    </xf>
    <xf numFmtId="15" fontId="51" fillId="0" borderId="0" xfId="0" applyFont="1"/>
    <xf numFmtId="15" fontId="52" fillId="0" borderId="0" xfId="0" applyFont="1"/>
    <xf numFmtId="1" fontId="5" fillId="2" borderId="0" xfId="0" applyNumberFormat="1" applyFont="1" applyFill="1" applyAlignment="1">
      <alignment vertical="center"/>
    </xf>
    <xf numFmtId="9" fontId="5" fillId="2" borderId="0" xfId="0" applyNumberFormat="1" applyFont="1" applyFill="1" applyAlignment="1">
      <alignment vertical="center"/>
    </xf>
    <xf numFmtId="167" fontId="9" fillId="2" borderId="0" xfId="0" applyNumberFormat="1" applyFont="1" applyFill="1" applyAlignment="1">
      <alignment horizontal="center" vertical="center"/>
    </xf>
    <xf numFmtId="168" fontId="4" fillId="5" borderId="60" xfId="0" quotePrefix="1" applyNumberFormat="1" applyFont="1" applyFill="1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8" fillId="0" borderId="2" xfId="0" applyNumberFormat="1" applyFont="1" applyBorder="1" applyAlignment="1">
      <alignment vertical="center"/>
    </xf>
    <xf numFmtId="168" fontId="8" fillId="0" borderId="18" xfId="0" applyNumberFormat="1" applyFont="1" applyBorder="1" applyAlignment="1">
      <alignment vertical="center"/>
    </xf>
    <xf numFmtId="168" fontId="4" fillId="0" borderId="13" xfId="0" applyNumberFormat="1" applyFont="1" applyBorder="1" applyAlignment="1">
      <alignment vertical="center"/>
    </xf>
    <xf numFmtId="168" fontId="0" fillId="5" borderId="5" xfId="0" applyNumberFormat="1" applyFill="1" applyBorder="1" applyAlignment="1">
      <alignment horizontal="left" vertical="center"/>
    </xf>
    <xf numFmtId="168" fontId="0" fillId="0" borderId="18" xfId="0" applyNumberFormat="1" applyBorder="1" applyAlignment="1">
      <alignment vertical="center"/>
    </xf>
    <xf numFmtId="168" fontId="0" fillId="5" borderId="18" xfId="0" applyNumberFormat="1" applyFill="1" applyBorder="1" applyAlignment="1">
      <alignment vertical="center"/>
    </xf>
    <xf numFmtId="168" fontId="0" fillId="5" borderId="13" xfId="0" applyNumberFormat="1" applyFill="1" applyBorder="1" applyAlignment="1">
      <alignment horizontal="left" vertical="center"/>
    </xf>
    <xf numFmtId="15" fontId="0" fillId="0" borderId="50" xfId="0" applyBorder="1" applyAlignment="1">
      <alignment horizontal="left" wrapText="1"/>
    </xf>
    <xf numFmtId="168" fontId="3" fillId="0" borderId="0" xfId="0" quotePrefix="1" applyNumberFormat="1" applyFont="1" applyAlignment="1">
      <alignment vertical="center"/>
    </xf>
    <xf numFmtId="168" fontId="4" fillId="0" borderId="25" xfId="0" applyNumberFormat="1" applyFont="1" applyBorder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 vertical="center"/>
    </xf>
    <xf numFmtId="168" fontId="4" fillId="0" borderId="186" xfId="0" applyNumberFormat="1" applyFont="1" applyBorder="1" applyAlignment="1">
      <alignment horizontal="center" vertical="center" wrapText="1"/>
    </xf>
    <xf numFmtId="168" fontId="4" fillId="0" borderId="58" xfId="0" applyNumberFormat="1" applyFont="1" applyBorder="1" applyAlignment="1">
      <alignment vertical="center" textRotation="180"/>
    </xf>
    <xf numFmtId="168" fontId="4" fillId="0" borderId="96" xfId="0" applyNumberFormat="1" applyFont="1" applyBorder="1" applyAlignment="1">
      <alignment vertical="center"/>
    </xf>
    <xf numFmtId="168" fontId="4" fillId="0" borderId="75" xfId="0" applyNumberFormat="1" applyFont="1" applyBorder="1" applyAlignment="1">
      <alignment horizontal="right" vertical="center"/>
    </xf>
    <xf numFmtId="8" fontId="4" fillId="0" borderId="187" xfId="0" applyNumberFormat="1" applyFont="1" applyBorder="1" applyAlignment="1">
      <alignment vertical="center"/>
    </xf>
    <xf numFmtId="168" fontId="4" fillId="0" borderId="60" xfId="0" applyNumberFormat="1" applyFont="1" applyBorder="1" applyAlignment="1">
      <alignment vertical="center"/>
    </xf>
    <xf numFmtId="168" fontId="0" fillId="0" borderId="101" xfId="0" applyNumberFormat="1" applyBorder="1" applyAlignment="1">
      <alignment wrapText="1"/>
    </xf>
    <xf numFmtId="168" fontId="4" fillId="0" borderId="0" xfId="0" applyNumberFormat="1" applyFont="1"/>
    <xf numFmtId="168" fontId="9" fillId="0" borderId="0" xfId="0" applyNumberFormat="1" applyFont="1" applyAlignment="1">
      <alignment vertical="center"/>
    </xf>
    <xf numFmtId="168" fontId="9" fillId="0" borderId="0" xfId="0" applyNumberFormat="1" applyFont="1" applyAlignment="1">
      <alignment vertical="center"/>
    </xf>
    <xf numFmtId="168" fontId="0" fillId="6" borderId="0" xfId="0" applyNumberFormat="1" applyFill="1" applyAlignment="1">
      <alignment vertical="center"/>
    </xf>
    <xf numFmtId="168" fontId="3" fillId="6" borderId="0" xfId="0" applyNumberFormat="1" applyFont="1" applyFill="1" applyAlignment="1">
      <alignment vertical="center"/>
    </xf>
    <xf numFmtId="15" fontId="0" fillId="6" borderId="0" xfId="0" applyFill="1" applyAlignment="1">
      <alignment vertical="center"/>
    </xf>
    <xf numFmtId="8" fontId="4" fillId="6" borderId="0" xfId="0" applyNumberFormat="1" applyFont="1" applyFill="1" applyAlignment="1">
      <alignment horizontal="right" vertical="center"/>
    </xf>
    <xf numFmtId="168" fontId="4" fillId="6" borderId="0" xfId="0" applyNumberFormat="1" applyFont="1" applyFill="1" applyAlignment="1">
      <alignment vertical="center"/>
    </xf>
    <xf numFmtId="168" fontId="4" fillId="0" borderId="5" xfId="0" applyNumberFormat="1" applyFont="1" applyBorder="1" applyAlignment="1">
      <alignment horizontal="left" vertical="center"/>
    </xf>
    <xf numFmtId="0" fontId="12" fillId="0" borderId="18" xfId="22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9" fontId="23" fillId="0" borderId="0" xfId="0" applyNumberFormat="1" applyFont="1" applyAlignment="1">
      <alignment horizontal="right" vertical="center"/>
    </xf>
    <xf numFmtId="8" fontId="4" fillId="7" borderId="0" xfId="0" applyNumberFormat="1" applyFont="1" applyFill="1" applyAlignment="1">
      <alignment horizontal="right" vertical="center"/>
    </xf>
    <xf numFmtId="168" fontId="4" fillId="7" borderId="0" xfId="0" applyNumberFormat="1" applyFont="1" applyFill="1" applyAlignment="1">
      <alignment vertical="center"/>
    </xf>
    <xf numFmtId="15" fontId="0" fillId="0" borderId="3" xfId="0" applyBorder="1" applyAlignment="1">
      <alignment horizontal="center"/>
    </xf>
    <xf numFmtId="168" fontId="3" fillId="7" borderId="0" xfId="0" applyNumberFormat="1" applyFont="1" applyFill="1" applyAlignment="1">
      <alignment vertical="center"/>
    </xf>
    <xf numFmtId="15" fontId="0" fillId="7" borderId="0" xfId="0" applyFill="1" applyAlignment="1">
      <alignment vertical="center"/>
    </xf>
    <xf numFmtId="15" fontId="0" fillId="0" borderId="75" xfId="0" applyBorder="1" applyAlignment="1">
      <alignment horizontal="center"/>
    </xf>
    <xf numFmtId="15" fontId="0" fillId="0" borderId="58" xfId="0" applyBorder="1" applyAlignment="1">
      <alignment horizontal="center"/>
    </xf>
    <xf numFmtId="15" fontId="0" fillId="0" borderId="51" xfId="0" applyBorder="1" applyAlignment="1">
      <alignment horizontal="center"/>
    </xf>
    <xf numFmtId="8" fontId="4" fillId="0" borderId="105" xfId="0" applyNumberFormat="1" applyFont="1" applyBorder="1"/>
    <xf numFmtId="8" fontId="4" fillId="0" borderId="107" xfId="0" applyNumberFormat="1" applyFont="1" applyBorder="1"/>
    <xf numFmtId="8" fontId="4" fillId="0" borderId="143" xfId="0" applyNumberFormat="1" applyFont="1" applyBorder="1"/>
    <xf numFmtId="8" fontId="4" fillId="0" borderId="16" xfId="0" applyNumberFormat="1" applyFont="1" applyBorder="1"/>
    <xf numFmtId="15" fontId="0" fillId="0" borderId="0" xfId="0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8" fontId="4" fillId="0" borderId="0" xfId="0" applyNumberFormat="1" applyFont="1" applyBorder="1"/>
    <xf numFmtId="8" fontId="4" fillId="0" borderId="188" xfId="0" applyNumberFormat="1" applyFont="1" applyBorder="1"/>
    <xf numFmtId="8" fontId="4" fillId="0" borderId="189" xfId="0" applyNumberFormat="1" applyFont="1" applyBorder="1"/>
    <xf numFmtId="8" fontId="4" fillId="0" borderId="162" xfId="0" applyNumberFormat="1" applyFont="1" applyBorder="1"/>
    <xf numFmtId="8" fontId="4" fillId="3" borderId="137" xfId="0" applyNumberFormat="1" applyFont="1" applyFill="1" applyBorder="1" applyProtection="1">
      <protection locked="0"/>
    </xf>
    <xf numFmtId="8" fontId="4" fillId="0" borderId="190" xfId="0" applyNumberFormat="1" applyFont="1" applyBorder="1"/>
    <xf numFmtId="15" fontId="4" fillId="0" borderId="0" xfId="0" applyFont="1" applyBorder="1"/>
    <xf numFmtId="15" fontId="4" fillId="0" borderId="0" xfId="0" applyFont="1" applyBorder="1" applyAlignment="1">
      <alignment horizontal="center"/>
    </xf>
    <xf numFmtId="8" fontId="4" fillId="3" borderId="124" xfId="0" applyNumberFormat="1" applyFont="1" applyFill="1" applyBorder="1" applyProtection="1">
      <protection locked="0"/>
    </xf>
    <xf numFmtId="8" fontId="4" fillId="3" borderId="164" xfId="0" applyNumberFormat="1" applyFont="1" applyFill="1" applyBorder="1" applyProtection="1">
      <protection locked="0"/>
    </xf>
    <xf numFmtId="8" fontId="4" fillId="3" borderId="191" xfId="0" applyNumberFormat="1" applyFont="1" applyFill="1" applyBorder="1" applyProtection="1">
      <protection locked="0"/>
    </xf>
    <xf numFmtId="8" fontId="4" fillId="0" borderId="146" xfId="0" applyNumberFormat="1" applyFont="1" applyBorder="1"/>
    <xf numFmtId="8" fontId="4" fillId="3" borderId="192" xfId="0" applyNumberFormat="1" applyFont="1" applyFill="1" applyBorder="1" applyProtection="1">
      <protection locked="0"/>
    </xf>
    <xf numFmtId="8" fontId="4" fillId="0" borderId="54" xfId="0" applyNumberFormat="1" applyFont="1" applyBorder="1"/>
    <xf numFmtId="15" fontId="0" fillId="3" borderId="132" xfId="0" applyFill="1" applyBorder="1" applyAlignment="1" applyProtection="1">
      <alignment horizontal="center"/>
      <protection locked="0"/>
    </xf>
    <xf numFmtId="15" fontId="4" fillId="0" borderId="58" xfId="0" applyFont="1" applyBorder="1" applyAlignment="1"/>
    <xf numFmtId="15" fontId="0" fillId="0" borderId="73" xfId="0" applyBorder="1" applyAlignment="1">
      <alignment horizontal="center"/>
    </xf>
    <xf numFmtId="15" fontId="0" fillId="0" borderId="59" xfId="0" applyBorder="1" applyAlignment="1">
      <alignment horizontal="center"/>
    </xf>
    <xf numFmtId="15" fontId="4" fillId="0" borderId="74" xfId="0" applyFont="1" applyBorder="1" applyAlignment="1">
      <alignment horizontal="center"/>
    </xf>
    <xf numFmtId="15" fontId="0" fillId="0" borderId="60" xfId="0" applyBorder="1" applyAlignment="1">
      <alignment horizontal="center"/>
    </xf>
    <xf numFmtId="170" fontId="0" fillId="3" borderId="108" xfId="0" applyNumberFormat="1" applyFill="1" applyBorder="1" applyAlignment="1" applyProtection="1">
      <alignment horizontal="left"/>
      <protection locked="0"/>
    </xf>
    <xf numFmtId="170" fontId="4" fillId="3" borderId="106" xfId="0" applyNumberFormat="1" applyFont="1" applyFill="1" applyBorder="1" applyAlignment="1" applyProtection="1">
      <protection locked="0"/>
    </xf>
    <xf numFmtId="170" fontId="4" fillId="3" borderId="102" xfId="0" applyNumberFormat="1" applyFont="1" applyFill="1" applyBorder="1" applyAlignment="1" applyProtection="1">
      <protection locked="0"/>
    </xf>
    <xf numFmtId="8" fontId="4" fillId="3" borderId="106" xfId="0" applyNumberFormat="1" applyFont="1" applyFill="1" applyBorder="1" applyAlignment="1" applyProtection="1">
      <protection locked="0"/>
    </xf>
    <xf numFmtId="170" fontId="4" fillId="3" borderId="107" xfId="0" applyNumberFormat="1" applyFont="1" applyFill="1" applyBorder="1" applyAlignment="1" applyProtection="1">
      <protection locked="0"/>
    </xf>
    <xf numFmtId="170" fontId="4" fillId="0" borderId="11" xfId="0" applyNumberFormat="1" applyFont="1" applyBorder="1" applyAlignment="1" applyProtection="1">
      <protection locked="0"/>
    </xf>
    <xf numFmtId="170" fontId="4" fillId="0" borderId="5" xfId="0" applyNumberFormat="1" applyFont="1" applyBorder="1" applyAlignment="1" applyProtection="1">
      <protection locked="0"/>
    </xf>
    <xf numFmtId="170" fontId="4" fillId="0" borderId="8" xfId="0" applyNumberFormat="1" applyFont="1" applyBorder="1" applyAlignment="1" applyProtection="1">
      <protection locked="0"/>
    </xf>
    <xf numFmtId="170" fontId="4" fillId="0" borderId="0" xfId="0" applyNumberFormat="1" applyFont="1" applyAlignment="1" applyProtection="1">
      <protection locked="0"/>
    </xf>
    <xf numFmtId="15" fontId="0" fillId="0" borderId="0" xfId="0" applyAlignment="1" applyProtection="1">
      <protection locked="0"/>
    </xf>
    <xf numFmtId="168" fontId="5" fillId="0" borderId="0" xfId="0" applyNumberFormat="1" applyFont="1" applyAlignment="1">
      <alignment horizontal="right" vertical="center"/>
    </xf>
    <xf numFmtId="168" fontId="60" fillId="0" borderId="0" xfId="0" applyNumberFormat="1" applyFont="1" applyAlignment="1">
      <alignment horizontal="center" vertical="center"/>
    </xf>
    <xf numFmtId="168" fontId="61" fillId="0" borderId="0" xfId="0" applyNumberFormat="1" applyFont="1" applyAlignment="1">
      <alignment horizontal="center" vertical="center"/>
    </xf>
    <xf numFmtId="168" fontId="0" fillId="0" borderId="0" xfId="0" quotePrefix="1" applyNumberFormat="1" applyAlignment="1">
      <alignment horizontal="center" vertical="center"/>
    </xf>
    <xf numFmtId="8" fontId="4" fillId="5" borderId="182" xfId="0" quotePrefix="1" applyNumberFormat="1" applyFont="1" applyFill="1" applyBorder="1" applyAlignment="1">
      <alignment vertical="center"/>
    </xf>
    <xf numFmtId="8" fontId="4" fillId="5" borderId="67" xfId="0" applyNumberFormat="1" applyFont="1" applyFill="1" applyBorder="1" applyAlignment="1">
      <alignment vertical="center"/>
    </xf>
    <xf numFmtId="168" fontId="4" fillId="5" borderId="2" xfId="0" applyNumberFormat="1" applyFont="1" applyFill="1" applyBorder="1" applyAlignment="1">
      <alignment vertical="center"/>
    </xf>
    <xf numFmtId="168" fontId="4" fillId="5" borderId="44" xfId="0" quotePrefix="1" applyNumberFormat="1" applyFont="1" applyFill="1" applyBorder="1" applyAlignment="1">
      <alignment vertical="center"/>
    </xf>
    <xf numFmtId="168" fontId="4" fillId="5" borderId="8" xfId="0" applyNumberFormat="1" applyFont="1" applyFill="1" applyBorder="1" applyAlignment="1">
      <alignment vertical="center"/>
    </xf>
    <xf numFmtId="168" fontId="9" fillId="0" borderId="0" xfId="0" applyNumberFormat="1" applyFont="1" applyAlignment="1">
      <alignment vertical="center"/>
    </xf>
    <xf numFmtId="168" fontId="16" fillId="0" borderId="0" xfId="0" applyNumberFormat="1" applyFont="1" applyAlignment="1">
      <alignment wrapText="1"/>
    </xf>
    <xf numFmtId="168" fontId="49" fillId="0" borderId="0" xfId="0" applyNumberFormat="1" applyFont="1" applyAlignment="1">
      <alignment horizontal="center"/>
    </xf>
    <xf numFmtId="15" fontId="50" fillId="0" borderId="0" xfId="0" applyFont="1" applyAlignment="1">
      <alignment horizontal="center"/>
    </xf>
    <xf numFmtId="168" fontId="4" fillId="0" borderId="0" xfId="0" applyNumberFormat="1" applyFont="1" applyAlignment="1">
      <alignment wrapText="1"/>
    </xf>
    <xf numFmtId="168" fontId="4" fillId="0" borderId="0" xfId="0" applyNumberFormat="1" applyFont="1"/>
    <xf numFmtId="168" fontId="0" fillId="0" borderId="0" xfId="0" applyNumberFormat="1" applyAlignment="1">
      <alignment wrapText="1"/>
    </xf>
    <xf numFmtId="168" fontId="12" fillId="0" borderId="0" xfId="0" applyNumberFormat="1" applyFont="1" applyAlignment="1">
      <alignment vertical="center"/>
    </xf>
    <xf numFmtId="15" fontId="12" fillId="0" borderId="24" xfId="0" applyFont="1" applyBorder="1" applyAlignment="1">
      <alignment vertical="center"/>
    </xf>
    <xf numFmtId="168" fontId="59" fillId="0" borderId="0" xfId="0" applyNumberFormat="1" applyFont="1" applyBorder="1" applyAlignment="1">
      <alignment vertical="center" wrapText="1"/>
    </xf>
    <xf numFmtId="15" fontId="20" fillId="0" borderId="5" xfId="0" applyFont="1" applyBorder="1" applyAlignment="1">
      <alignment vertical="center" wrapText="1"/>
    </xf>
    <xf numFmtId="168" fontId="25" fillId="0" borderId="0" xfId="0" applyNumberFormat="1" applyFont="1" applyAlignment="1">
      <alignment vertical="center"/>
    </xf>
    <xf numFmtId="15" fontId="0" fillId="0" borderId="0" xfId="0" applyAlignment="1">
      <alignment vertical="center"/>
    </xf>
    <xf numFmtId="168" fontId="25" fillId="0" borderId="2" xfId="0" applyNumberFormat="1" applyFont="1" applyBorder="1" applyAlignment="1">
      <alignment vertical="center"/>
    </xf>
    <xf numFmtId="15" fontId="0" fillId="0" borderId="2" xfId="0" applyBorder="1" applyAlignment="1">
      <alignment vertical="center"/>
    </xf>
    <xf numFmtId="168" fontId="9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15" fontId="33" fillId="0" borderId="0" xfId="0" applyFont="1" applyAlignment="1">
      <alignment vertical="center" wrapText="1"/>
    </xf>
    <xf numFmtId="15" fontId="0" fillId="0" borderId="0" xfId="0" applyAlignment="1">
      <alignment vertical="center" wrapText="1"/>
    </xf>
    <xf numFmtId="15" fontId="0" fillId="0" borderId="18" xfId="0" applyBorder="1" applyAlignment="1">
      <alignment vertical="center" wrapText="1"/>
    </xf>
    <xf numFmtId="15" fontId="3" fillId="0" borderId="175" xfId="0" applyFont="1" applyBorder="1" applyAlignment="1">
      <alignment horizontal="left"/>
    </xf>
    <xf numFmtId="15" fontId="0" fillId="0" borderId="18" xfId="0" applyBorder="1" applyAlignment="1"/>
    <xf numFmtId="15" fontId="0" fillId="0" borderId="0" xfId="0" applyBorder="1" applyAlignment="1"/>
    <xf numFmtId="15" fontId="0" fillId="0" borderId="18" xfId="0" applyBorder="1"/>
    <xf numFmtId="15" fontId="0" fillId="0" borderId="0" xfId="0" applyBorder="1"/>
  </cellXfs>
  <cellStyles count="43">
    <cellStyle name="Comma0" xfId="1"/>
    <cellStyle name="Comma0 2" xfId="2"/>
    <cellStyle name="Comma0 2 2" xfId="31"/>
    <cellStyle name="Comma0 3" xfId="3"/>
    <cellStyle name="Comma0 4" xfId="30"/>
    <cellStyle name="Currency0" xfId="4"/>
    <cellStyle name="Currency0 2" xfId="5"/>
    <cellStyle name="Currency0 2 2" xfId="33"/>
    <cellStyle name="Currency0 3" xfId="6"/>
    <cellStyle name="Currency0 4" xfId="32"/>
    <cellStyle name="Date" xfId="7"/>
    <cellStyle name="Date 2" xfId="8"/>
    <cellStyle name="Date 2 2" xfId="35"/>
    <cellStyle name="Date 3" xfId="9"/>
    <cellStyle name="Date 4" xfId="34"/>
    <cellStyle name="Fixed" xfId="10"/>
    <cellStyle name="Fixed 2" xfId="11"/>
    <cellStyle name="Fixed 2 2" xfId="37"/>
    <cellStyle name="Fixed 3" xfId="12"/>
    <cellStyle name="Fixed 4" xfId="36"/>
    <cellStyle name="Heading 1" xfId="13" builtinId="16" customBuiltin="1"/>
    <cellStyle name="Heading 1 2" xfId="14"/>
    <cellStyle name="Heading 1 2 2" xfId="27"/>
    <cellStyle name="Heading 1 2 3" xfId="38"/>
    <cellStyle name="Heading 1 3" xfId="15"/>
    <cellStyle name="Heading 2" xfId="16" builtinId="17" customBuiltin="1"/>
    <cellStyle name="Heading 2 2" xfId="17"/>
    <cellStyle name="Heading 2 2 2" xfId="28"/>
    <cellStyle name="Heading 2 2 3" xfId="39"/>
    <cellStyle name="Heading 2 3" xfId="18"/>
    <cellStyle name="Hyperlink 2" xfId="19"/>
    <cellStyle name="Normal" xfId="0" builtinId="0"/>
    <cellStyle name="Normal 2" xfId="20"/>
    <cellStyle name="Normal 2 2" xfId="40"/>
    <cellStyle name="Normal 3" xfId="21"/>
    <cellStyle name="Normal 3 2" xfId="41"/>
    <cellStyle name="Normal 4" xfId="22"/>
    <cellStyle name="Normal 5" xfId="26"/>
    <cellStyle name="Normal 6" xfId="29"/>
    <cellStyle name="Total" xfId="23" builtinId="25" customBuiltin="1"/>
    <cellStyle name="Total 2" xfId="24"/>
    <cellStyle name="Total 2 2" xfId="42"/>
    <cellStyle name="Total 3" xfId="25"/>
  </cellStyles>
  <dxfs count="6">
    <dxf>
      <font>
        <color theme="6" tint="0.39994506668294322"/>
      </font>
    </dxf>
    <dxf>
      <font>
        <color rgb="FFFF0000"/>
      </font>
    </dxf>
    <dxf>
      <font>
        <color theme="5" tint="0.39994506668294322"/>
      </font>
    </dxf>
    <dxf>
      <font>
        <strike/>
        <color auto="1"/>
      </font>
    </dxf>
    <dxf>
      <font>
        <strike/>
        <color auto="1"/>
      </font>
    </dxf>
    <dxf>
      <font>
        <strike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342900</xdr:colOff>
      <xdr:row>96</xdr:row>
      <xdr:rowOff>38100</xdr:rowOff>
    </xdr:from>
    <xdr:to>
      <xdr:col>19</xdr:col>
      <xdr:colOff>387350</xdr:colOff>
      <xdr:row>98</xdr:row>
      <xdr:rowOff>38100</xdr:rowOff>
    </xdr:to>
    <xdr:sp macro="" textlink="">
      <xdr:nvSpPr>
        <xdr:cNvPr id="2" name="TextBox 1"/>
        <xdr:cNvSpPr txBox="1"/>
      </xdr:nvSpPr>
      <xdr:spPr>
        <a:xfrm>
          <a:off x="8420100" y="12020550"/>
          <a:ext cx="647700" cy="2222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800"/>
            <a:t>£605.26</a:t>
          </a:r>
        </a:p>
        <a:p>
          <a:endParaRPr lang="en-GB" sz="800"/>
        </a:p>
      </xdr:txBody>
    </xdr:sp>
    <xdr:clientData/>
  </xdr:twoCellAnchor>
  <xdr:twoCellAnchor>
    <xdr:from>
      <xdr:col>18</xdr:col>
      <xdr:colOff>336550</xdr:colOff>
      <xdr:row>92</xdr:row>
      <xdr:rowOff>38100</xdr:rowOff>
    </xdr:from>
    <xdr:to>
      <xdr:col>19</xdr:col>
      <xdr:colOff>381000</xdr:colOff>
      <xdr:row>93</xdr:row>
      <xdr:rowOff>120650</xdr:rowOff>
    </xdr:to>
    <xdr:sp macro="" textlink="">
      <xdr:nvSpPr>
        <xdr:cNvPr id="5" name="TextBox 4"/>
        <xdr:cNvSpPr txBox="1"/>
      </xdr:nvSpPr>
      <xdr:spPr>
        <a:xfrm>
          <a:off x="8413750" y="11461750"/>
          <a:ext cx="647700" cy="2222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800"/>
            <a:t>£293.20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zoomScale="200" zoomScaleNormal="200" workbookViewId="0">
      <selection activeCell="H9" sqref="H9"/>
    </sheetView>
  </sheetViews>
  <sheetFormatPr defaultColWidth="11.1640625" defaultRowHeight="7"/>
  <cols>
    <col min="1" max="1" width="4.1640625" style="28" customWidth="1"/>
    <col min="2" max="2" width="18.33203125" style="28" customWidth="1"/>
    <col min="3" max="3" width="10.6640625" style="28" customWidth="1"/>
    <col min="4" max="4" width="46.1640625" style="28" customWidth="1"/>
    <col min="5" max="5" width="11.83203125" style="28" customWidth="1"/>
    <col min="6" max="6" width="3.83203125" style="28" customWidth="1"/>
    <col min="7" max="7" width="8.83203125" style="28" customWidth="1"/>
    <col min="8" max="8" width="6.83203125" style="28" customWidth="1"/>
    <col min="9" max="10" width="7.83203125" style="28" customWidth="1"/>
    <col min="11" max="11" width="14.83203125" style="28" customWidth="1"/>
    <col min="12" max="13" width="15.83203125" style="28" customWidth="1"/>
    <col min="14" max="14" width="9.83203125" style="226" customWidth="1"/>
    <col min="15" max="15" width="12.83203125" style="226" customWidth="1"/>
    <col min="16" max="18" width="4" style="226" customWidth="1"/>
    <col min="19" max="20" width="4" style="28" customWidth="1"/>
    <col min="21" max="34" width="11.1640625" style="28" customWidth="1"/>
    <col min="35" max="35" width="9.83203125" style="28" customWidth="1"/>
    <col min="36" max="36" width="11.1640625" style="28" customWidth="1"/>
    <col min="37" max="37" width="11.83203125" style="28" customWidth="1"/>
    <col min="38" max="38" width="10.83203125" style="28" customWidth="1"/>
    <col min="39" max="198" width="11.1640625" style="28" customWidth="1"/>
    <col min="199" max="199" width="1.83203125" style="28" customWidth="1"/>
    <col min="200" max="16384" width="11.1640625" style="28"/>
  </cols>
  <sheetData>
    <row r="1" spans="1:18" ht="13.5" thickBot="1">
      <c r="A1" s="34"/>
      <c r="B1" s="291" t="str">
        <f>Summary!G8</f>
        <v>BANK POSITION THIS YEAR</v>
      </c>
      <c r="C1" s="41"/>
      <c r="D1" s="41"/>
      <c r="E1" s="41"/>
      <c r="G1" s="36"/>
      <c r="H1" s="29"/>
      <c r="K1" s="29"/>
      <c r="M1" s="31"/>
      <c r="N1" s="28"/>
      <c r="O1" s="28"/>
      <c r="P1" s="28"/>
      <c r="Q1" s="28"/>
      <c r="R1" s="28"/>
    </row>
    <row r="2" spans="1:18" ht="13" thickTop="1">
      <c r="A2" s="34"/>
      <c r="B2" s="368" t="s">
        <v>134</v>
      </c>
      <c r="C2" s="498">
        <v>44979</v>
      </c>
      <c r="D2" s="377"/>
      <c r="E2" s="452">
        <v>485.94999999999993</v>
      </c>
      <c r="H2" s="29"/>
      <c r="K2" s="35"/>
      <c r="L2" s="35"/>
      <c r="M2" s="35"/>
      <c r="N2" s="28"/>
      <c r="O2" s="28"/>
      <c r="P2" s="28"/>
      <c r="Q2" s="28"/>
      <c r="R2" s="28"/>
    </row>
    <row r="3" spans="1:18" ht="7.5" thickBot="1">
      <c r="A3" s="34"/>
      <c r="B3" s="374" t="s">
        <v>145</v>
      </c>
      <c r="C3" s="375"/>
      <c r="D3" s="375"/>
      <c r="E3" s="376">
        <f>Summary!L10</f>
        <v>0</v>
      </c>
      <c r="G3" s="40"/>
      <c r="H3" s="40"/>
      <c r="I3" s="40"/>
      <c r="J3" s="40"/>
      <c r="K3" s="40"/>
      <c r="L3" s="40"/>
      <c r="M3" s="214"/>
      <c r="N3" s="28"/>
      <c r="O3" s="32"/>
    </row>
    <row r="4" spans="1:18" ht="8" thickTop="1" thickBot="1">
      <c r="A4" s="34"/>
      <c r="B4" s="37" t="s">
        <v>126</v>
      </c>
      <c r="C4" s="38"/>
      <c r="D4" s="38"/>
      <c r="E4" s="39">
        <f>SUM(E2:E3)</f>
        <v>485.94999999999993</v>
      </c>
    </row>
    <row r="5" spans="1:18" ht="8" thickTop="1" thickBot="1"/>
    <row r="6" spans="1:18" ht="7.5" thickTop="1">
      <c r="A6" s="34"/>
      <c r="B6" s="368" t="s">
        <v>128</v>
      </c>
      <c r="C6" s="369"/>
      <c r="D6" s="369"/>
      <c r="E6" s="370">
        <v>0</v>
      </c>
      <c r="G6" s="40"/>
      <c r="H6" s="40"/>
      <c r="I6" s="40"/>
      <c r="J6" s="212"/>
      <c r="K6" s="40"/>
      <c r="L6" s="40"/>
      <c r="M6" s="40"/>
    </row>
    <row r="7" spans="1:18" ht="7.5" thickBot="1">
      <c r="A7" s="34"/>
      <c r="B7" s="371" t="s">
        <v>127</v>
      </c>
      <c r="C7" s="372"/>
      <c r="D7" s="372"/>
      <c r="E7" s="373"/>
      <c r="G7" s="40"/>
      <c r="H7" s="40"/>
      <c r="I7" s="40"/>
      <c r="J7" s="213"/>
      <c r="K7" s="40"/>
      <c r="L7" s="40"/>
      <c r="M7" s="40"/>
    </row>
    <row r="8" spans="1:18" ht="15" thickTop="1" thickBot="1">
      <c r="B8" s="37"/>
      <c r="C8" s="38"/>
      <c r="D8" s="670" t="str">
        <f>CONCATENATE("Current Balance Calculated from Start Balance + Trip Accounts + Provisions into ",Summary!B1+1)</f>
        <v>Current Balance Calculated from Start Balance + Trip Accounts + Provisions into 2023</v>
      </c>
      <c r="E8" s="39">
        <f>Summary!D11</f>
        <v>295.63999999999828</v>
      </c>
    </row>
    <row r="9" spans="1:18" ht="7.5" thickTop="1"/>
    <row r="10" spans="1:18">
      <c r="B10" s="800" t="s">
        <v>129</v>
      </c>
      <c r="C10" s="800"/>
      <c r="D10" s="800"/>
      <c r="E10" s="800"/>
    </row>
    <row r="11" spans="1:18" s="687" customFormat="1" ht="13" customHeight="1">
      <c r="B11" s="799" t="s">
        <v>136</v>
      </c>
      <c r="C11" s="799"/>
      <c r="D11" s="799"/>
      <c r="E11" s="799"/>
      <c r="N11" s="688"/>
      <c r="O11" s="688"/>
      <c r="P11" s="688"/>
      <c r="Q11" s="688"/>
      <c r="R11" s="688"/>
    </row>
    <row r="12" spans="1:18" s="687" customFormat="1" ht="14.5" customHeight="1">
      <c r="B12" s="799" t="s">
        <v>137</v>
      </c>
      <c r="C12" s="799"/>
      <c r="D12" s="799"/>
      <c r="E12" s="799"/>
      <c r="N12" s="688"/>
      <c r="O12" s="688"/>
      <c r="P12" s="688"/>
      <c r="Q12" s="688"/>
      <c r="R12" s="688"/>
    </row>
    <row r="13" spans="1:18" ht="2.5" customHeight="1"/>
    <row r="14" spans="1:18" ht="15" customHeight="1">
      <c r="B14" s="801" t="s">
        <v>218</v>
      </c>
      <c r="C14" s="799"/>
      <c r="D14" s="799"/>
      <c r="E14" s="799"/>
    </row>
    <row r="15" spans="1:18" ht="30">
      <c r="B15" s="797" t="str">
        <f>IF(ABS(Summary!A12)&gt;0.0001,"ERROR IN ACCOUNTS","")</f>
        <v/>
      </c>
      <c r="C15" s="798"/>
      <c r="D15" s="798"/>
      <c r="E15" s="798"/>
    </row>
    <row r="16" spans="1:18" ht="20.25" customHeight="1">
      <c r="B16" s="796" t="str">
        <f>IF(ABS(Summary!A12)&gt;0.0001,"In [Trip Accounts], [Provisions &amp; Subs] and [Late Banking], check you have overwritten &lt;post balance&gt; (with a deposit/payment reference) for all trip accounts whose transactions contribute to the bank balance (in cell E2).","")</f>
        <v/>
      </c>
      <c r="C16" s="796"/>
      <c r="D16" s="796"/>
      <c r="E16" s="796"/>
    </row>
  </sheetData>
  <sheetProtection sheet="1" objects="1" scenarios="1"/>
  <mergeCells count="6">
    <mergeCell ref="B16:E16"/>
    <mergeCell ref="B15:E15"/>
    <mergeCell ref="B11:E11"/>
    <mergeCell ref="B10:E10"/>
    <mergeCell ref="B14:E14"/>
    <mergeCell ref="B12:E12"/>
  </mergeCells>
  <phoneticPr fontId="9" type="noConversion"/>
  <pageMargins left="0.75" right="0.75" top="1" bottom="1" header="0.5" footer="0.5"/>
  <pageSetup paperSize="9" scale="205" orientation="landscape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5"/>
  <sheetViews>
    <sheetView showGridLines="0" showZeros="0" topLeftCell="A61" workbookViewId="0">
      <selection activeCell="N91" sqref="N91:T100"/>
    </sheetView>
  </sheetViews>
  <sheetFormatPr defaultColWidth="11.1640625" defaultRowHeight="7"/>
  <cols>
    <col min="1" max="1" width="34.83203125" style="272" customWidth="1"/>
    <col min="2" max="2" width="11.83203125" style="272" customWidth="1"/>
    <col min="3" max="3" width="10.83203125" style="272" customWidth="1"/>
    <col min="4" max="4" width="11.83203125" style="272" customWidth="1"/>
    <col min="5" max="5" width="13.83203125" style="272" customWidth="1"/>
    <col min="6" max="6" width="4.1640625" style="272" customWidth="1"/>
    <col min="7" max="8" width="8.83203125" style="272" customWidth="1"/>
    <col min="9" max="9" width="11.83203125" style="272" customWidth="1"/>
    <col min="10" max="10" width="15.83203125" style="272" customWidth="1"/>
    <col min="11" max="11" width="12.83203125" style="272" customWidth="1"/>
    <col min="12" max="12" width="11.83203125" style="272" customWidth="1"/>
    <col min="13" max="13" width="3.83203125" style="272" customWidth="1"/>
    <col min="14" max="14" width="10.33203125" style="272" customWidth="1"/>
    <col min="15" max="15" width="6.83203125" style="272" customWidth="1"/>
    <col min="16" max="16" width="11" style="272" customWidth="1"/>
    <col min="17" max="17" width="7.83203125" style="272" customWidth="1"/>
    <col min="18" max="18" width="14.83203125" style="272" customWidth="1"/>
    <col min="19" max="19" width="15.83203125" style="272" customWidth="1"/>
    <col min="20" max="20" width="21.83203125" style="272" customWidth="1"/>
    <col min="21" max="21" width="9.83203125" style="555" customWidth="1"/>
    <col min="22" max="22" width="12.83203125" style="555" customWidth="1"/>
    <col min="23" max="25" width="4" style="555" customWidth="1"/>
    <col min="26" max="27" width="4" style="272" customWidth="1"/>
    <col min="28" max="28" width="11.1640625" style="272" customWidth="1"/>
    <col min="29" max="41" width="11.1640625" style="272"/>
    <col min="42" max="42" width="9.83203125" style="272" customWidth="1"/>
    <col min="43" max="43" width="11.1640625" style="272"/>
    <col min="44" max="44" width="11.83203125" style="272" customWidth="1"/>
    <col min="45" max="45" width="10.83203125" style="272" customWidth="1"/>
    <col min="46" max="205" width="11.1640625" style="272"/>
    <col min="206" max="206" width="1.83203125" style="272" customWidth="1"/>
    <col min="207" max="16384" width="11.1640625" style="272"/>
  </cols>
  <sheetData>
    <row r="1" spans="1:28" s="524" customFormat="1" ht="27" hidden="1" customHeight="1">
      <c r="A1" s="523" t="s">
        <v>85</v>
      </c>
      <c r="B1" s="706">
        <v>2022</v>
      </c>
      <c r="C1" s="523" t="s">
        <v>86</v>
      </c>
      <c r="D1" s="523"/>
      <c r="E1" s="708">
        <v>44686</v>
      </c>
      <c r="F1" s="523"/>
      <c r="G1" s="523" t="s">
        <v>89</v>
      </c>
      <c r="H1" s="523"/>
      <c r="I1" s="523"/>
      <c r="J1" s="707">
        <v>0.25</v>
      </c>
      <c r="K1" s="525" t="s">
        <v>119</v>
      </c>
      <c r="L1" s="526"/>
      <c r="S1" s="524" t="s">
        <v>103</v>
      </c>
      <c r="T1" s="654">
        <v>44978</v>
      </c>
    </row>
    <row r="2" spans="1:28" ht="35.25" customHeight="1">
      <c r="A2" s="527" t="str">
        <f>CONCATENATE("OLYMPIC ",IF(T1&gt;DATE(B1,12,31),CONCATENATE(B1," FINAL"),"")," ACCOUNTS")</f>
        <v>OLYMPIC 2022 FINAL ACCOUNTS</v>
      </c>
      <c r="B2" s="528"/>
      <c r="C2" s="529"/>
      <c r="D2" s="529"/>
      <c r="E2" s="530"/>
      <c r="G2" s="531"/>
      <c r="K2" s="795"/>
      <c r="L2" s="533"/>
      <c r="P2" s="741" t="str">
        <f>IF(T1&gt;DATE(B1,12,31),"","STATUS REPORT")</f>
        <v/>
      </c>
      <c r="T2" s="534" t="str">
        <f>TEXT(T1,"dd mmmmmmm yyy")</f>
        <v>21 February 2023</v>
      </c>
      <c r="U2" s="272"/>
      <c r="V2" s="272"/>
      <c r="W2" s="272"/>
      <c r="X2" s="272"/>
      <c r="Y2" s="272"/>
    </row>
    <row r="3" spans="1:28" ht="24.5" customHeight="1" thickBot="1">
      <c r="A3" s="422" t="s">
        <v>0</v>
      </c>
      <c r="C3" s="535" t="s">
        <v>1</v>
      </c>
      <c r="G3" s="422" t="s">
        <v>2</v>
      </c>
      <c r="K3" s="536"/>
      <c r="N3" s="537" t="s">
        <v>3</v>
      </c>
      <c r="O3" s="529"/>
      <c r="U3" s="739"/>
      <c r="V3" s="272"/>
      <c r="W3" s="272"/>
      <c r="X3" s="272"/>
      <c r="Y3" s="272"/>
    </row>
    <row r="4" spans="1:28" ht="12" thickTop="1">
      <c r="A4" s="538" t="str">
        <f>CONCATENATE("TOTAL REAL INCOME IN ",$B$1)</f>
        <v>TOTAL REAL INCOME IN 2022</v>
      </c>
      <c r="B4" s="279"/>
      <c r="C4" s="279"/>
      <c r="D4" s="539">
        <f>B31</f>
        <v>8205</v>
      </c>
      <c r="G4" s="538" t="s">
        <v>7</v>
      </c>
      <c r="H4" s="279"/>
      <c r="I4" s="540">
        <v>44576</v>
      </c>
      <c r="J4" s="279"/>
      <c r="K4" s="279"/>
      <c r="L4" s="541">
        <v>1250.99</v>
      </c>
      <c r="N4" s="662" t="s">
        <v>285</v>
      </c>
      <c r="U4" s="739"/>
      <c r="V4" s="272"/>
      <c r="W4" s="272"/>
      <c r="X4" s="272"/>
      <c r="Y4" s="272"/>
    </row>
    <row r="5" spans="1:28" ht="13">
      <c r="A5" s="273" t="str">
        <f>CONCATENATE("TOTAL REAL EXPENDITURE IN ",$B$1)</f>
        <v>TOTAL REAL EXPENDITURE IN 2022</v>
      </c>
      <c r="D5" s="545">
        <f>-B51</f>
        <v>-9973.5800000000017</v>
      </c>
      <c r="F5" s="546"/>
      <c r="G5" s="639" t="s">
        <v>199</v>
      </c>
      <c r="L5" s="545">
        <v>227.41</v>
      </c>
      <c r="P5" s="542"/>
      <c r="S5" s="543" t="str">
        <f>IF(J49-J31&lt;0,"We budgeted for a LOSS of: ",CONCATENATE("We budgeted for an ANNUAL SURPLUS of:"))</f>
        <v xml:space="preserve">We budgeted for a LOSS of: </v>
      </c>
      <c r="T5" s="544">
        <f>ABS(J49-J31)</f>
        <v>417.00000000000045</v>
      </c>
      <c r="U5" s="272"/>
      <c r="V5" s="272"/>
      <c r="W5" s="272"/>
      <c r="X5" s="272"/>
      <c r="Y5" s="272"/>
    </row>
    <row r="6" spans="1:28" ht="13.5" thickBot="1">
      <c r="A6" s="639" t="str">
        <f>CONCATENATE("NET PROVISIONS FROM ",$B$1," INTO ",$B$1+1)</f>
        <v>NET PROVISIONS FROM 2022 INTO 2023</v>
      </c>
      <c r="D6" s="545">
        <f>-($R$16-$R$17+$T$17-$T$16)</f>
        <v>710.81999999999994</v>
      </c>
      <c r="E6" s="273"/>
      <c r="F6" s="546"/>
      <c r="G6" s="274" t="str">
        <f>CONCATENATE("BALANCE REPORTED LAST YEAR FOR START OF YEAR ",$B$1)</f>
        <v>BALANCE REPORTED LAST YEAR FOR START OF YEAR 2022</v>
      </c>
      <c r="H6" s="275"/>
      <c r="I6" s="275"/>
      <c r="J6" s="275"/>
      <c r="K6" s="275"/>
      <c r="L6" s="576">
        <f>SUM(L4:L5)</f>
        <v>1478.4</v>
      </c>
      <c r="O6" s="542"/>
      <c r="P6" s="542"/>
      <c r="R6" s="547"/>
      <c r="S6" s="543" t="str">
        <f>CONCATENATE(IF(D10-D11-C99&gt;0,"We achieved a net ANNUAL LOSS of:","We achieved a net ANNUAL SURPLUS of:"))</f>
        <v>We achieved a net ANNUAL LOSS of:</v>
      </c>
      <c r="T6" s="548">
        <f>ABS(D10-D11)</f>
        <v>1057.7600000000018</v>
      </c>
      <c r="U6" s="740" t="str">
        <f>IF(U3&gt;U4,B1,"")</f>
        <v/>
      </c>
      <c r="V6" s="272"/>
      <c r="W6" s="272"/>
      <c r="X6" s="272"/>
      <c r="Y6" s="272"/>
    </row>
    <row r="7" spans="1:28" ht="12" thickTop="1">
      <c r="A7" s="549" t="s">
        <v>4</v>
      </c>
      <c r="B7" s="550"/>
      <c r="C7" s="550"/>
      <c r="D7" s="551">
        <f>D4+D5+D6</f>
        <v>-1057.7600000000018</v>
      </c>
      <c r="E7" s="273"/>
      <c r="F7" s="546"/>
      <c r="N7" s="679" t="s">
        <v>166</v>
      </c>
      <c r="O7" s="680"/>
      <c r="P7" s="680"/>
      <c r="Q7" s="680"/>
      <c r="R7" s="680"/>
      <c r="S7" s="680"/>
      <c r="T7" s="680"/>
      <c r="U7" s="272"/>
      <c r="V7" s="272"/>
      <c r="W7" s="272"/>
      <c r="X7" s="272"/>
      <c r="Y7" s="272"/>
    </row>
    <row r="8" spans="1:28" ht="13" thickBot="1">
      <c r="A8" s="552" t="str">
        <f>CONCATENATE("SURPLUS ON PROVISIONED ARREARS OF YEAR ",$B$1-1," ACCOUNTS")</f>
        <v>SURPLUS ON PROVISIONED ARREARS OF YEAR 2021 ACCOUNTS</v>
      </c>
      <c r="D8" s="545">
        <f>'PROVISIONS &amp; SUBS'!I33-'PROVISIONS &amp; SUBS'!I45</f>
        <v>0</v>
      </c>
      <c r="E8" s="273"/>
      <c r="F8" s="546"/>
      <c r="G8" s="426" t="s">
        <v>6</v>
      </c>
      <c r="H8" s="573"/>
      <c r="I8" s="573"/>
      <c r="J8" s="573"/>
      <c r="K8" s="573"/>
      <c r="L8" s="573"/>
      <c r="N8" s="529" t="s">
        <v>283</v>
      </c>
      <c r="S8" s="653"/>
      <c r="T8" s="548">
        <v>1353.4</v>
      </c>
      <c r="U8" s="272"/>
    </row>
    <row r="9" spans="1:28" ht="14" thickTop="1" thickBot="1">
      <c r="A9" s="556" t="s">
        <v>161</v>
      </c>
      <c r="D9" s="545"/>
      <c r="E9" s="273"/>
      <c r="F9" s="546"/>
      <c r="G9" s="538" t="s">
        <v>7</v>
      </c>
      <c r="H9" s="279"/>
      <c r="I9" s="540">
        <f>'Di''s Summary'!C2</f>
        <v>44979</v>
      </c>
      <c r="J9" s="279"/>
      <c r="K9" s="279"/>
      <c r="L9" s="541">
        <f>'Di''s Summary'!E2</f>
        <v>485.94999999999993</v>
      </c>
      <c r="N9" s="547" t="str">
        <f>CONCATENATE("Floating Fund ",IF(T9&lt;J31,"is now down to"," is now up to"),":")</f>
        <v>Floating Fund is now down to:</v>
      </c>
      <c r="O9" s="529"/>
      <c r="P9" s="532"/>
      <c r="Q9" s="529"/>
      <c r="S9" s="554"/>
      <c r="T9" s="561">
        <f>SUM(T8:T8)-(D10-D11)</f>
        <v>295.63999999999828</v>
      </c>
      <c r="U9" s="272"/>
      <c r="V9" s="693"/>
      <c r="AB9" s="272">
        <f>V6-V9</f>
        <v>0</v>
      </c>
    </row>
    <row r="10" spans="1:28" ht="13" thickBot="1">
      <c r="A10" s="273" t="s">
        <v>5</v>
      </c>
      <c r="D10" s="557">
        <f>J31</f>
        <v>1353.4</v>
      </c>
      <c r="E10" s="273"/>
      <c r="F10" s="546"/>
      <c r="G10" s="273" t="s">
        <v>122</v>
      </c>
      <c r="L10" s="563">
        <f>TRIP_ACCOUNTS!U142+'LATE BANKING'!AA1-L11</f>
        <v>0</v>
      </c>
      <c r="P10" s="660"/>
      <c r="S10" s="786" t="s">
        <v>284</v>
      </c>
      <c r="T10" s="529">
        <f>$J$49</f>
        <v>936.39999999999964</v>
      </c>
      <c r="U10" s="272"/>
      <c r="V10" s="693"/>
      <c r="W10" s="272"/>
      <c r="X10" s="272"/>
      <c r="Y10" s="272"/>
    </row>
    <row r="11" spans="1:28" ht="8" thickTop="1" thickBot="1">
      <c r="A11" s="564" t="s">
        <v>8</v>
      </c>
      <c r="B11" s="565"/>
      <c r="C11" s="565"/>
      <c r="D11" s="566">
        <f>SUM(D7:D10)</f>
        <v>295.63999999999828</v>
      </c>
      <c r="E11" s="273"/>
      <c r="F11" s="546"/>
      <c r="G11" s="639" t="s">
        <v>277</v>
      </c>
      <c r="L11" s="563">
        <f>SUM(TRIP_ACCOUNTS!L32:N32)</f>
        <v>-901.13</v>
      </c>
      <c r="U11" s="272"/>
      <c r="V11" s="272"/>
      <c r="W11" s="272"/>
      <c r="X11" s="272"/>
      <c r="Y11" s="272"/>
    </row>
    <row r="12" spans="1:28" ht="8" thickTop="1" thickBot="1">
      <c r="A12" s="272">
        <f>IF(ABS($D$11-$L$12+$R$16-$R$17+$T$17-$T$16)&lt;0.0001,0,B12-D12)</f>
        <v>0</v>
      </c>
      <c r="B12" s="272">
        <f>IF(ABS($D$11-$L$12+$R$16-$R$17+$T$17-$T$16)&lt;0.0001,0,$D$11-($L$12-$R$16+$R$17-$T$17+$T$16))</f>
        <v>0</v>
      </c>
      <c r="C12" s="567"/>
      <c r="D12" s="272">
        <f>IF(ABS($D$11-$L$12+$R$16-$R$17+$T$17-$T$16)&lt;0.0001,0,L12)</f>
        <v>0</v>
      </c>
      <c r="F12" s="546"/>
      <c r="G12" s="274" t="str">
        <f>IF(T1&gt;DATE(B1+1,1,25),"EFFECTIVE YEAR-END BALANCE","CURRENT BALANCE AFTER ALL CHEQUES AND DEPOSITS")</f>
        <v>EFFECTIVE YEAR-END BALANCE</v>
      </c>
      <c r="H12" s="275"/>
      <c r="I12" s="275"/>
      <c r="J12" s="275"/>
      <c r="K12" s="275"/>
      <c r="L12" s="576">
        <f>SUM(L9:L11)</f>
        <v>-415.18000000000006</v>
      </c>
      <c r="U12" s="272"/>
      <c r="V12" s="542"/>
    </row>
    <row r="13" spans="1:28" ht="7.5" thickTop="1">
      <c r="C13" s="567"/>
      <c r="F13" s="546"/>
      <c r="U13" s="272"/>
      <c r="V13" s="542"/>
    </row>
    <row r="14" spans="1:28" ht="11" thickBot="1">
      <c r="A14" s="281" t="s">
        <v>9</v>
      </c>
      <c r="F14" s="546"/>
      <c r="G14" s="422" t="s">
        <v>193</v>
      </c>
      <c r="H14" s="568"/>
      <c r="N14" s="719" t="str">
        <f>CONCATENATE("PROVISIONS INTO ",$B$1+1)</f>
        <v>PROVISIONS INTO 2023</v>
      </c>
      <c r="T14" s="553"/>
      <c r="Y14" s="553" t="s">
        <v>276</v>
      </c>
    </row>
    <row r="15" spans="1:28" ht="8.75" customHeight="1" thickTop="1">
      <c r="A15" s="538"/>
      <c r="B15" s="279"/>
      <c r="C15" s="538" t="s">
        <v>10</v>
      </c>
      <c r="D15" s="569" t="s">
        <v>11</v>
      </c>
      <c r="E15" s="569" t="s">
        <v>138</v>
      </c>
      <c r="F15" s="546"/>
      <c r="G15" s="665" t="s">
        <v>194</v>
      </c>
      <c r="H15" s="279"/>
      <c r="I15" s="711" t="str">
        <f>CONCATENATE(IF($D$16&gt;$C$16,"Down on last year by ","Up on last year by "),ROUND(($D$16-$C$16)/$D$16*IF($D$16&gt;$C$16,1,-1)*100,0),"%")</f>
        <v>Down on last year by 14%</v>
      </c>
      <c r="J15" s="711"/>
      <c r="K15" s="711"/>
      <c r="L15" s="539"/>
      <c r="N15" s="538"/>
      <c r="O15" s="710" t="s">
        <v>197</v>
      </c>
      <c r="P15" s="279"/>
      <c r="Q15" s="279"/>
      <c r="R15" s="279"/>
      <c r="S15" s="710" t="s">
        <v>198</v>
      </c>
      <c r="T15" s="539"/>
    </row>
    <row r="16" spans="1:28" ht="8.75" customHeight="1">
      <c r="A16" s="273" t="s">
        <v>12</v>
      </c>
      <c r="C16" s="570">
        <f>+TRIP_ACCOUNTS!U115</f>
        <v>55</v>
      </c>
      <c r="D16" s="570">
        <v>64</v>
      </c>
      <c r="E16" s="571">
        <v>21.5</v>
      </c>
      <c r="F16" s="546"/>
      <c r="G16" s="639" t="s">
        <v>201</v>
      </c>
      <c r="H16" s="568"/>
      <c r="I16" s="568" t="str">
        <f>CONCATENATE(TRIP_ACCOUNTS!U119," out of ",TRIP_ACCOUNTS!U120, " possible weeks" )</f>
        <v>13 out of 26 possible weeks</v>
      </c>
      <c r="K16" s="568"/>
      <c r="L16" s="557"/>
      <c r="N16" s="639" t="s">
        <v>195</v>
      </c>
      <c r="O16" s="553" t="str">
        <f>CONCATENATE("Received ",Summary!$B$1," due ",Summary!$B$1+1)</f>
        <v>Received 2022 due 2023</v>
      </c>
      <c r="R16" s="658">
        <f>'PROVISIONS &amp; SUBS'!G70</f>
        <v>0</v>
      </c>
      <c r="S16" s="658" t="str">
        <f>CONCATENATE("Due ",Summary!$B$1-2000," to Rcv ",Summary!$B$1+1-2000)</f>
        <v>Due 22 to Rcv 23</v>
      </c>
      <c r="T16" s="714">
        <f>'PROVISIONS &amp; SUBS'!G60</f>
        <v>419.83</v>
      </c>
    </row>
    <row r="17" spans="1:25" ht="7.5" thickBot="1">
      <c r="A17" s="572" t="s">
        <v>13</v>
      </c>
      <c r="B17" s="573"/>
      <c r="C17" s="574">
        <f>+TRIP_ACCOUNTS!U116</f>
        <v>94</v>
      </c>
      <c r="D17" s="574">
        <v>90.5</v>
      </c>
      <c r="E17" s="575">
        <v>31.5</v>
      </c>
      <c r="F17" s="546"/>
      <c r="G17" s="572"/>
      <c r="H17" s="712"/>
      <c r="I17" s="712" t="s">
        <v>266</v>
      </c>
      <c r="J17" s="573"/>
      <c r="K17" s="712"/>
      <c r="L17" s="713"/>
      <c r="N17" s="661" t="s">
        <v>196</v>
      </c>
      <c r="O17" s="715" t="str">
        <f>CONCATENATE("Made in ",Summary!$B$1,",  due ",Summary!$B$1+1)</f>
        <v>Made in 2022,  due 2023</v>
      </c>
      <c r="P17" s="573"/>
      <c r="Q17" s="573"/>
      <c r="R17" s="716">
        <f>'PROVISIONS &amp; SUBS'!G80</f>
        <v>290.99</v>
      </c>
      <c r="S17" s="716" t="str">
        <f>CONCATENATE("Due ",Summary!$B$1-2000," to pay ",Summary!$B$1+1-2000)</f>
        <v>Due 22 to pay 23</v>
      </c>
      <c r="T17" s="717">
        <f>'PROVISIONS &amp; SUBS'!I90</f>
        <v>0</v>
      </c>
      <c r="Y17" s="553"/>
    </row>
    <row r="18" spans="1:25" ht="8" thickTop="1" thickBot="1">
      <c r="T18" s="577"/>
    </row>
    <row r="19" spans="1:25" ht="8" thickTop="1" thickBot="1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</row>
    <row r="20" spans="1:25" ht="14" thickTop="1" thickBot="1">
      <c r="A20" s="806" t="s">
        <v>14</v>
      </c>
      <c r="D20" s="422" t="s">
        <v>15</v>
      </c>
      <c r="I20" s="538" t="s">
        <v>16</v>
      </c>
      <c r="J20" s="578" t="s">
        <v>17</v>
      </c>
      <c r="K20" s="579" t="s">
        <v>100</v>
      </c>
      <c r="L20" s="539"/>
      <c r="N20" s="580" t="str">
        <f>IF(ABS(K32)&gt;ABS(J26*0.05),IF(K32&lt;0,CONCATENATE("Under Budget by: £",ABS(ROUND(K32,2))),CONCATENATE("Over budget by: £",ABS(ROUND(K32,2)))),IF(K32&lt;0,CONCATENATE("Within 5% of budget; less than budget by: £",ABS(ROUND(K32,2))),CONCATENATE("Within 5% of budget; more than budget by  £",ABS(ROUND(K32,2)))))</f>
        <v>Within 5% of budget; less than budget by: £292.95</v>
      </c>
      <c r="O20" s="580"/>
      <c r="T20" s="580"/>
    </row>
    <row r="21" spans="1:25" ht="10.5" thickTop="1">
      <c r="A21" s="807"/>
      <c r="D21" s="665" t="s">
        <v>182</v>
      </c>
      <c r="E21" s="279"/>
      <c r="F21" s="279"/>
      <c r="G21" s="279"/>
      <c r="H21" s="279"/>
      <c r="I21" s="581">
        <f>B27+B30</f>
        <v>4050</v>
      </c>
      <c r="J21" s="582">
        <f>9*500</f>
        <v>4500</v>
      </c>
      <c r="K21" s="583">
        <f>I21-J21</f>
        <v>-450</v>
      </c>
      <c r="L21" s="584" t="str">
        <f>IF(I21-J21-K21&lt;0.0000001,"","see provisions")</f>
        <v/>
      </c>
      <c r="N21" s="731" t="str">
        <f>CONCATENATE("Participants - (",TEXT(K21,"£0"),")")</f>
        <v>Participants - (-£450)</v>
      </c>
      <c r="O21" s="532"/>
      <c r="P21" s="532"/>
      <c r="Q21" s="731" t="s">
        <v>280</v>
      </c>
    </row>
    <row r="22" spans="1:25" ht="10.5" thickBot="1">
      <c r="A22" s="807"/>
      <c r="D22" s="273" t="s">
        <v>18</v>
      </c>
      <c r="I22" s="583">
        <f>B26</f>
        <v>2350</v>
      </c>
      <c r="J22" s="585">
        <v>2500</v>
      </c>
      <c r="K22" s="583">
        <f>I22-J22</f>
        <v>-150</v>
      </c>
      <c r="L22" s="586" t="str">
        <f>IF(I22-J22-K22&lt;0.0000001,"","see provisions")</f>
        <v/>
      </c>
      <c r="N22" s="532" t="str">
        <f>CONCATENATE("Non participants - (",TEXT(K22,"£0"),")")</f>
        <v>Non participants - (-£150)</v>
      </c>
      <c r="R22" s="810"/>
      <c r="S22" s="807"/>
      <c r="T22" s="807"/>
    </row>
    <row r="23" spans="1:25" ht="11.5" thickTop="1" thickBot="1">
      <c r="A23" s="281" t="s">
        <v>20</v>
      </c>
      <c r="B23" s="569" t="s">
        <v>22</v>
      </c>
      <c r="D23" s="273" t="s">
        <v>19</v>
      </c>
      <c r="I23" s="583">
        <f>B24-B42</f>
        <v>-31.5</v>
      </c>
      <c r="J23" s="583">
        <v>-20</v>
      </c>
      <c r="K23" s="583">
        <f>I23-J23</f>
        <v>-11.5</v>
      </c>
      <c r="L23" s="586" t="str">
        <f>IF(I23-J23-K23&lt;0.0000001,"","see provisions")</f>
        <v/>
      </c>
      <c r="N23" s="730" t="s">
        <v>265</v>
      </c>
      <c r="O23" s="532"/>
      <c r="R23" s="587"/>
    </row>
    <row r="24" spans="1:25" ht="10.5" thickTop="1">
      <c r="A24" s="538" t="s">
        <v>23</v>
      </c>
      <c r="B24" s="588">
        <f>+TRIP_ACCOUNTS!U122</f>
        <v>325</v>
      </c>
      <c r="D24" s="273" t="s">
        <v>21</v>
      </c>
      <c r="I24" s="583">
        <f>B25-B40</f>
        <v>418.54999999999995</v>
      </c>
      <c r="J24" s="583">
        <v>100</v>
      </c>
      <c r="K24" s="583">
        <f>ROUND(I24-J24,2)</f>
        <v>318.55</v>
      </c>
      <c r="L24" s="586" t="str">
        <f>IF(I24-J24-K24&lt;0.0000001,"","see provisions")</f>
        <v/>
      </c>
      <c r="O24" s="532"/>
    </row>
    <row r="25" spans="1:25" ht="10">
      <c r="A25" s="273" t="s">
        <v>24</v>
      </c>
      <c r="B25" s="589">
        <f>+TRIP_ACCOUNTS!U123</f>
        <v>1480</v>
      </c>
      <c r="D25" s="273">
        <f>A28</f>
        <v>0</v>
      </c>
      <c r="I25" s="440">
        <f>B28</f>
        <v>0</v>
      </c>
      <c r="J25" s="440"/>
      <c r="K25" s="583">
        <f>ROUND(I25-J25,2)</f>
        <v>0</v>
      </c>
      <c r="L25" s="586"/>
      <c r="N25" s="532" t="s">
        <v>139</v>
      </c>
    </row>
    <row r="26" spans="1:25" ht="10.5" thickBot="1">
      <c r="A26" s="273" t="s">
        <v>27</v>
      </c>
      <c r="B26" s="589">
        <f>+TRIP_ACCOUNTS!U124</f>
        <v>2350</v>
      </c>
      <c r="D26" s="590" t="str">
        <f>CONCATENATE("ANNUAL INCOME FOR ",$B$1)</f>
        <v>ANNUAL INCOME FOR 2022</v>
      </c>
      <c r="E26" s="591"/>
      <c r="F26" s="591"/>
      <c r="G26" s="591"/>
      <c r="H26" s="591"/>
      <c r="I26" s="592">
        <f>SUM(I21:I25)</f>
        <v>6787.05</v>
      </c>
      <c r="J26" s="592">
        <f>SUM(J21:J25)</f>
        <v>7080</v>
      </c>
      <c r="K26" s="593">
        <f>SUM(K21:K25)</f>
        <v>-292.95</v>
      </c>
      <c r="L26" s="594"/>
      <c r="Q26" s="595">
        <f>+$B$1</f>
        <v>2022</v>
      </c>
      <c r="R26" s="595">
        <v>2021</v>
      </c>
      <c r="S26" s="595">
        <v>2020</v>
      </c>
      <c r="T26" s="595">
        <v>2019</v>
      </c>
    </row>
    <row r="27" spans="1:25" ht="10.5" thickTop="1">
      <c r="A27" s="273" t="s">
        <v>29</v>
      </c>
      <c r="B27" s="589">
        <f>+'PROVISIONS &amp; SUBS'!K16</f>
        <v>4050</v>
      </c>
      <c r="D27" s="558" t="str">
        <f>CONCATENATE("FUNDS BROUGHT FORWARD FROM  ",$B$1-1," BUDGET" )</f>
        <v>FUNDS BROUGHT FORWARD FROM  2021 BUDGET</v>
      </c>
      <c r="E27" s="559"/>
      <c r="F27" s="559"/>
      <c r="G27" s="559"/>
      <c r="H27" s="559"/>
      <c r="I27" s="596"/>
      <c r="J27" s="596"/>
      <c r="K27" s="597"/>
      <c r="L27" s="560"/>
      <c r="N27" s="272" t="s">
        <v>25</v>
      </c>
      <c r="O27" s="598" t="s">
        <v>26</v>
      </c>
      <c r="Q27" s="272">
        <f>(B37+B38)/(C16+0.000001)</f>
        <v>12.160545233444632</v>
      </c>
      <c r="R27" s="272">
        <v>10.776562331616216</v>
      </c>
      <c r="S27" s="272">
        <v>9.4627902575446381</v>
      </c>
      <c r="T27" s="272">
        <v>9.2251921302847659</v>
      </c>
      <c r="U27" s="577"/>
    </row>
    <row r="28" spans="1:25" hidden="1">
      <c r="A28" s="273"/>
      <c r="B28" s="589"/>
      <c r="D28" s="552" t="str">
        <f>CONCATENATE("    Expenses unpaid in ",$B$1-1,", provisioned into ",$B$1)</f>
        <v xml:space="preserve">    Expenses unpaid in 2021, provisioned into 2022</v>
      </c>
      <c r="I28" s="585">
        <f>J28</f>
        <v>0</v>
      </c>
      <c r="J28" s="585"/>
      <c r="K28" s="583">
        <f>J28-I28</f>
        <v>0</v>
      </c>
      <c r="L28" s="557"/>
      <c r="U28" s="577"/>
    </row>
    <row r="29" spans="1:25" ht="10">
      <c r="A29" s="639" t="str">
        <f>CONCATENATE($B$1+1," INCOME RECIEVED EARLY")</f>
        <v>2023 INCOME RECIEVED EARLY</v>
      </c>
      <c r="B29" s="589">
        <f>+'PROVISIONS &amp; SUBS'!G70</f>
        <v>0</v>
      </c>
      <c r="D29" s="273"/>
      <c r="I29" s="585"/>
      <c r="J29" s="585"/>
      <c r="K29" s="583"/>
      <c r="L29" s="557"/>
      <c r="N29" s="272" t="s">
        <v>25</v>
      </c>
      <c r="O29" s="598" t="s">
        <v>28</v>
      </c>
      <c r="Q29" s="272">
        <f>B36/(C16+0.000001)</f>
        <v>5.8445453482809935</v>
      </c>
      <c r="R29" s="272">
        <v>7.4487498836132842</v>
      </c>
      <c r="S29" s="272">
        <v>9.2497670116387436</v>
      </c>
      <c r="T29" s="272">
        <v>7.6280767763831383</v>
      </c>
    </row>
    <row r="30" spans="1:25" ht="10">
      <c r="A30" s="639" t="s">
        <v>186</v>
      </c>
      <c r="B30" s="589">
        <f>'PROVISIONS &amp; SUBS'!K17</f>
        <v>0</v>
      </c>
      <c r="D30" s="552" t="str">
        <f>CONCATENATE("    Net provision recieved from or paid to year ",$B$1-1)</f>
        <v xml:space="preserve">    Net provision recieved from or paid to year 2021</v>
      </c>
      <c r="H30" s="599"/>
      <c r="I30" s="585">
        <f>J30</f>
        <v>75</v>
      </c>
      <c r="J30" s="585">
        <f>'PROVISIONS &amp; SUBS'!H28</f>
        <v>75</v>
      </c>
      <c r="K30" s="583">
        <f>I30-J30</f>
        <v>0</v>
      </c>
      <c r="L30" s="557"/>
      <c r="N30" s="272" t="s">
        <v>30</v>
      </c>
      <c r="O30" s="598" t="s">
        <v>31</v>
      </c>
      <c r="Q30" s="272">
        <f>B41/(TRIP_ACCOUNTS!U119+0.000001)</f>
        <v>27.423074813609631</v>
      </c>
      <c r="R30" s="272">
        <v>24.563331695777887</v>
      </c>
      <c r="S30" s="272">
        <v>12.57142677551046</v>
      </c>
      <c r="T30" s="272">
        <v>29.241664229861314</v>
      </c>
      <c r="U30" s="577"/>
    </row>
    <row r="31" spans="1:25" ht="7.5" thickBot="1">
      <c r="A31" s="274" t="s">
        <v>32</v>
      </c>
      <c r="B31" s="600">
        <f>SUM(B24:B30)</f>
        <v>8205</v>
      </c>
      <c r="D31" s="273" t="str">
        <f>CONCATENATE("    Floating fund brought forward from end of year ",$B$1-1)</f>
        <v xml:space="preserve">    Floating fund brought forward from end of year 2021</v>
      </c>
      <c r="I31" s="585">
        <f>J31</f>
        <v>1353.4</v>
      </c>
      <c r="J31" s="585">
        <f>T8</f>
        <v>1353.4</v>
      </c>
      <c r="K31" s="583">
        <f>J31-I31</f>
        <v>0</v>
      </c>
      <c r="L31" s="557"/>
    </row>
    <row r="32" spans="1:25" ht="8" thickTop="1" thickBot="1">
      <c r="D32" s="274" t="s">
        <v>33</v>
      </c>
      <c r="E32" s="275"/>
      <c r="F32" s="275"/>
      <c r="G32" s="275"/>
      <c r="H32" s="275"/>
      <c r="I32" s="439">
        <f>SUM(I26:I31)</f>
        <v>8215.4500000000007</v>
      </c>
      <c r="J32" s="439">
        <f>SUM(J26:J31)</f>
        <v>8508.4</v>
      </c>
      <c r="K32" s="601">
        <f>SUM(K26:K31)</f>
        <v>-292.95</v>
      </c>
      <c r="L32" s="602"/>
    </row>
    <row r="33" spans="1:24" ht="8" thickTop="1" thickBot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</row>
    <row r="34" spans="1:24" ht="11.5" thickTop="1" thickBot="1">
      <c r="A34" s="281" t="s">
        <v>34</v>
      </c>
      <c r="D34" s="808" t="s">
        <v>35</v>
      </c>
      <c r="E34" s="809"/>
      <c r="F34" s="809"/>
      <c r="G34" s="809"/>
      <c r="H34" s="809"/>
      <c r="I34" s="809"/>
      <c r="J34" s="546"/>
      <c r="K34" s="603" t="str">
        <f>IF(I32-I50&lt;0.01," ",CONCATENATE("Expenditure/Income inbalance by ",TEXT(I32-I50,"£0.00")))</f>
        <v xml:space="preserve"> </v>
      </c>
    </row>
    <row r="35" spans="1:24" ht="9.75" customHeight="1" thickTop="1" thickBot="1">
      <c r="A35" s="538" t="s">
        <v>36</v>
      </c>
      <c r="B35" s="604" t="s">
        <v>22</v>
      </c>
      <c r="D35" s="807"/>
      <c r="E35" s="807"/>
      <c r="F35" s="807"/>
      <c r="G35" s="807"/>
      <c r="H35" s="807"/>
      <c r="I35" s="807"/>
      <c r="N35" s="811" t="str">
        <f>IF(ABS(K47)&gt;ABS(J47*0.05),IF(K47&gt;0,CONCATENATE("Under Budget by: £",ABS(ROUND(K47,2))),CONCATENATE("Over budget by: £",ABS(ROUND(K47,2)))),IF(K47&gt;0,CONCATENATE("Within 5% of budget; less than budget by: £",ABS(ROUND(K47,2))),CONCATENATE("Within 5% of budget; more than budget by only £",ABS(ROUND(K47,2)))))</f>
        <v>Within 5% of budget; more than budget by only £347.81</v>
      </c>
      <c r="O35" s="807"/>
      <c r="P35" s="807"/>
      <c r="Q35" s="807"/>
      <c r="R35" s="807"/>
      <c r="S35" s="807"/>
      <c r="T35" s="807"/>
    </row>
    <row r="36" spans="1:24" ht="8.25" customHeight="1" thickTop="1">
      <c r="A36" s="558" t="s">
        <v>37</v>
      </c>
      <c r="B36" s="588">
        <f>+TRIP_ACCOUNTS!U127</f>
        <v>321.45</v>
      </c>
      <c r="C36" s="273"/>
      <c r="D36" s="807"/>
      <c r="E36" s="807"/>
      <c r="F36" s="807"/>
      <c r="G36" s="807"/>
      <c r="H36" s="807"/>
      <c r="I36" s="807"/>
      <c r="N36" s="807"/>
      <c r="O36" s="807"/>
      <c r="P36" s="807"/>
      <c r="Q36" s="807"/>
      <c r="R36" s="807"/>
      <c r="S36" s="807"/>
      <c r="T36" s="807"/>
      <c r="U36" s="542"/>
      <c r="V36" s="789" t="s">
        <v>286</v>
      </c>
    </row>
    <row r="37" spans="1:24" ht="10" customHeight="1" thickBot="1">
      <c r="A37" s="639" t="s">
        <v>162</v>
      </c>
      <c r="B37" s="589">
        <f>+TRIP_ACCOUNTS!U128</f>
        <v>668.82999999999993</v>
      </c>
      <c r="C37" s="273"/>
      <c r="D37" s="422" t="s">
        <v>40</v>
      </c>
      <c r="E37" s="422"/>
      <c r="O37" s="532" t="str">
        <f>CONCATENATE("CRT Moorings budget ",IF(TRIP_ACCOUNTS!U144/P38&gt;1.05,"TOO SMALL",IF(TRIP_ACCOUNTS!U144/P38&lt;0.95,"OVER ESTIMATED","ABOUT RIGHT")))</f>
        <v>CRT Moorings budget TOO SMALL</v>
      </c>
    </row>
    <row r="38" spans="1:24" ht="10" customHeight="1" thickTop="1" thickBot="1">
      <c r="A38" s="273" t="s">
        <v>39</v>
      </c>
      <c r="B38" s="589">
        <f>+TRIP_ACCOUNTS!U129</f>
        <v>0</v>
      </c>
      <c r="C38" s="273"/>
      <c r="F38" s="422"/>
      <c r="G38" s="422"/>
      <c r="H38" s="422"/>
      <c r="I38" s="538" t="s">
        <v>16</v>
      </c>
      <c r="J38" s="578" t="s">
        <v>17</v>
      </c>
      <c r="K38" s="579" t="s">
        <v>100</v>
      </c>
      <c r="L38" s="539"/>
      <c r="N38" s="603"/>
      <c r="O38" s="788" t="str">
        <f>CONCATENATE(IF(ABS(P44-TRIP_ACCOUNTS!U144)&lt;10,"",IF(P38&lt;TRIP_ACCOUNTS!U144,"..#",".#")),IF(V38,".",""))</f>
        <v>..#.</v>
      </c>
      <c r="P38" s="606">
        <v>772</v>
      </c>
      <c r="Q38" s="532" t="str">
        <f>CONCATENATE("budgeted versus £",TRIP_ACCOUNTS!U144, " spent")</f>
        <v>budgeted versus £846.37 spent</v>
      </c>
      <c r="V38" s="555" t="b">
        <f>ABS(P38-TRIP_ACCOUNTS!U144)/P38&lt;0.1</f>
        <v>1</v>
      </c>
    </row>
    <row r="39" spans="1:24" ht="10" customHeight="1" thickTop="1">
      <c r="A39" s="273" t="s">
        <v>41</v>
      </c>
      <c r="B39" s="589">
        <f>+TRIP_ACCOUNTS!U130</f>
        <v>71.17</v>
      </c>
      <c r="C39" s="273"/>
      <c r="D39" s="538" t="s">
        <v>99</v>
      </c>
      <c r="E39" s="279"/>
      <c r="F39" s="279"/>
      <c r="G39" s="279"/>
      <c r="H39" s="279"/>
      <c r="I39" s="698">
        <f>B46</f>
        <v>2352.0300000000002</v>
      </c>
      <c r="J39" s="582">
        <f>P38+P40+P42+P44</f>
        <v>2942</v>
      </c>
      <c r="K39" s="581">
        <f t="shared" ref="K39:K46" si="0">J39-I39</f>
        <v>589.9699999999998</v>
      </c>
      <c r="L39" s="605" t="str">
        <f t="shared" ref="L39:L44" si="1">IF(J39-I39=K39,"","see provisions")</f>
        <v/>
      </c>
      <c r="O39" s="532" t="str">
        <f>CONCATENATE("Occasional moorings budget ",IF(TRIP_ACCOUNTS!U146/P40&gt;1.1,"TOO SMALL",IF(TRIP_ACCOUNTS!U146/P40&lt;0.5,"OVER ESTIMATED","ABOUT RIGHT")))</f>
        <v>Occasional moorings budget OVER ESTIMATED</v>
      </c>
      <c r="W39" s="607"/>
    </row>
    <row r="40" spans="1:24" ht="10" customHeight="1" thickBot="1">
      <c r="A40" s="549" t="s">
        <v>42</v>
      </c>
      <c r="B40" s="608">
        <f>SUM(B36:B39)</f>
        <v>1061.45</v>
      </c>
      <c r="C40" s="273"/>
      <c r="D40" s="639" t="s">
        <v>263</v>
      </c>
      <c r="I40" s="699">
        <f>L74-D9</f>
        <v>1267.75</v>
      </c>
      <c r="J40" s="585">
        <v>400</v>
      </c>
      <c r="K40" s="583">
        <f>J40-(I40)</f>
        <v>-867.75</v>
      </c>
      <c r="L40" s="737" t="str">
        <f t="shared" si="1"/>
        <v/>
      </c>
      <c r="O40" s="788" t="str">
        <f>CONCATENATE(IF(ABS(P40-TRIP_ACCOUNTS!U146)&lt;10,"",IF(P40&lt;TRIP_ACCOUNTS!U146,"..#",".#")),IF(V40,".",""))</f>
        <v>.#</v>
      </c>
      <c r="P40" s="606">
        <v>700</v>
      </c>
      <c r="Q40" s="532" t="str">
        <f>CONCATENATE("budgeted versus £",TEXT(TRIP_ACCOUNTS!U146,"0.00")," spent")</f>
        <v>budgeted versus £0.00 spent</v>
      </c>
      <c r="V40" s="555" t="b">
        <f>ABS(P40-TRIP_ACCOUNTS!U146)/P40&lt;0.1</f>
        <v>0</v>
      </c>
      <c r="X40" s="621"/>
    </row>
    <row r="41" spans="1:24" ht="10" customHeight="1" thickTop="1">
      <c r="A41" s="538" t="s">
        <v>43</v>
      </c>
      <c r="B41" s="609">
        <f>+TRIP_ACCOUNTS!U132</f>
        <v>356.5</v>
      </c>
      <c r="C41" s="273"/>
      <c r="D41" s="639" t="s">
        <v>164</v>
      </c>
      <c r="I41" s="699">
        <f>B44</f>
        <v>590.58000000000004</v>
      </c>
      <c r="J41" s="585">
        <f>+D92-D69</f>
        <v>655</v>
      </c>
      <c r="K41" s="583">
        <f t="shared" si="0"/>
        <v>64.419999999999959</v>
      </c>
      <c r="L41" s="586" t="str">
        <f t="shared" si="1"/>
        <v/>
      </c>
      <c r="O41" s="532" t="str">
        <f>CONCATENATE("Licence budget ",IF(TRIP_ACCOUNTS!U145/P42&gt;1.05,"TOO SMALL",IF(TRIP_ACCOUNTS!U145/P42&lt;0.95,"OVER ESTIMATED","ABOUT RIGHT")))</f>
        <v>Licence budget ABOUT RIGHT</v>
      </c>
      <c r="U41" s="623"/>
    </row>
    <row r="42" spans="1:24" ht="10" customHeight="1" thickBot="1">
      <c r="A42" s="549" t="s">
        <v>44</v>
      </c>
      <c r="B42" s="608">
        <f>B41</f>
        <v>356.5</v>
      </c>
      <c r="C42" s="273"/>
      <c r="D42" s="639" t="s">
        <v>165</v>
      </c>
      <c r="I42" s="700">
        <f>B47</f>
        <v>0</v>
      </c>
      <c r="J42" s="610">
        <v>0</v>
      </c>
      <c r="K42" s="583">
        <f t="shared" si="0"/>
        <v>0</v>
      </c>
      <c r="L42" s="586" t="str">
        <f t="shared" si="1"/>
        <v/>
      </c>
      <c r="O42" s="788" t="str">
        <f>CONCATENATE(IF(ABS(P42-TRIP_ACCOUNTS!U145)&lt;10,"",IF(P42&lt;TRIP_ACCOUNTS!U145,"..#",".#")),IF(V42,".",""))</f>
        <v>..#.</v>
      </c>
      <c r="P42" s="606">
        <v>1182</v>
      </c>
      <c r="Q42" s="532" t="str">
        <f>CONCATENATE("budgeted versus £",TEXT(TRIP_ACCOUNTS!U145,"0.00"), " spent")</f>
        <v>budgeted versus £1217.75 spent</v>
      </c>
      <c r="V42" s="555" t="b">
        <f>ABS(P42-TRIP_ACCOUNTS!U145)/P42&lt;0.1</f>
        <v>1</v>
      </c>
    </row>
    <row r="43" spans="1:24" ht="10" customHeight="1" thickTop="1" thickBot="1">
      <c r="A43" s="538" t="s">
        <v>45</v>
      </c>
      <c r="B43" s="539"/>
      <c r="C43" s="273"/>
      <c r="D43" s="273" t="s">
        <v>46</v>
      </c>
      <c r="I43" s="699"/>
      <c r="J43" s="585">
        <v>0</v>
      </c>
      <c r="K43" s="583">
        <f t="shared" si="0"/>
        <v>0</v>
      </c>
      <c r="L43" s="586" t="str">
        <f t="shared" si="1"/>
        <v/>
      </c>
      <c r="O43" s="532" t="str">
        <f>CONCATENATE("Insurance budget ",IF(TRIP_ACCOUNTS!U143/P44&gt;1.05,"TOO SMALL",IF(TRIP_ACCOUNTS!U143/P44&lt;0.95,"OVER ESTIMATED","ABOUT RIGHT")))</f>
        <v>Insurance budget ABOUT RIGHT</v>
      </c>
    </row>
    <row r="44" spans="1:24" ht="10" customHeight="1" thickTop="1">
      <c r="A44" s="558" t="s">
        <v>47</v>
      </c>
      <c r="B44" s="701">
        <f>+TRIP_ACCOUNTS!U134</f>
        <v>590.58000000000004</v>
      </c>
      <c r="C44" s="273"/>
      <c r="D44" s="639" t="s">
        <v>200</v>
      </c>
      <c r="I44" s="699">
        <f>B49</f>
        <v>4345.2699999999995</v>
      </c>
      <c r="J44" s="585">
        <f>D69</f>
        <v>3500</v>
      </c>
      <c r="K44" s="583">
        <f t="shared" si="0"/>
        <v>-845.26999999999953</v>
      </c>
      <c r="L44" s="611" t="str">
        <f t="shared" si="1"/>
        <v/>
      </c>
      <c r="O44" s="787" t="str">
        <f>CONCATENATE(IF(ABS(P44-TRIP_ACCOUNTS!U143)&lt;10,"",IF(P44&lt;TRIP_ACCOUNTS!U143,"..#",".#")),IF(V44,".",""))</f>
        <v>.</v>
      </c>
      <c r="P44" s="606">
        <v>288</v>
      </c>
      <c r="Q44" s="532" t="str">
        <f>CONCATENATE("budgeted versus £",TEXT(TRIP_ACCOUNTS!U143,"0.00"), " spent")</f>
        <v>budgeted versus £287.91 spent</v>
      </c>
      <c r="V44" s="555" t="b">
        <f>ABS(P44-TRIP_ACCOUNTS!U143)/P44&lt;0.1</f>
        <v>1</v>
      </c>
    </row>
    <row r="45" spans="1:24" ht="10" customHeight="1">
      <c r="A45" s="639" t="s">
        <v>163</v>
      </c>
      <c r="B45" s="702">
        <f>+'OTHER COSTS'!BT41</f>
        <v>1267.75</v>
      </c>
      <c r="C45" s="273"/>
      <c r="D45" s="639" t="str">
        <f>CONCATENATE("Provisioned into ",$B$1+1)</f>
        <v>Provisioned into 2023</v>
      </c>
      <c r="I45" s="585">
        <f>$R$16-$R$17+$T$17-$T$16</f>
        <v>-710.81999999999994</v>
      </c>
      <c r="J45" s="440"/>
      <c r="K45" s="583">
        <f t="shared" si="0"/>
        <v>710.81999999999994</v>
      </c>
      <c r="L45" s="586" t="str">
        <f>IF(J45-I45=K45,"","provisions")</f>
        <v/>
      </c>
      <c r="O45" s="532" t="str">
        <f>CONCATENATE("Emergencies &amp; unplanned budgets ",IF(I40/J40&gt;1.1,"TOO SMALL",IF(I40/J40&lt;0.5,"OVER ESTIMATED","ABOUT RIGHT")))</f>
        <v>Emergencies &amp; unplanned budgets TOO SMALL</v>
      </c>
    </row>
    <row r="46" spans="1:24" ht="10" customHeight="1">
      <c r="A46" s="273" t="s">
        <v>49</v>
      </c>
      <c r="B46" s="702">
        <f>+TRIP_ACCOUNTS!U137</f>
        <v>2352.0300000000002</v>
      </c>
      <c r="D46" s="552" t="str">
        <f>CONCATENATE("Outlay against provision from ",$B$1-1,", received in ",$B$1)</f>
        <v>Outlay against provision from 2021, received in 2022</v>
      </c>
      <c r="H46" s="599"/>
      <c r="I46" s="585">
        <f>'PROVISIONS &amp; SUBS'!G33</f>
        <v>75</v>
      </c>
      <c r="J46" s="585">
        <f>'PROVISIONS &amp; SUBS'!H28</f>
        <v>75</v>
      </c>
      <c r="K46" s="583">
        <f t="shared" si="0"/>
        <v>0</v>
      </c>
      <c r="L46" s="586"/>
      <c r="O46" s="788" t="str">
        <f>CONCATENATE(IF(ABS(J40-I40)&lt;10,"",IF(J40&lt;I40,"..#",".#")),IF(V46,".",""))</f>
        <v>..#</v>
      </c>
      <c r="P46" s="606" t="str">
        <f>CONCATENATE("£",TEXT(ABS(J40),"0.00")," budgeted, £",TEXT(ABS(K40),"0.00"),IF(K40&gt;0, " unused"," overspent"))</f>
        <v>£400.00 budgeted, £867.75 overspent</v>
      </c>
      <c r="R46" s="612"/>
      <c r="T46" s="627" t="s">
        <v>157</v>
      </c>
      <c r="V46" s="555" t="b">
        <f>ABS(J40-I40)/J40&lt;0.1</f>
        <v>0</v>
      </c>
    </row>
    <row r="47" spans="1:24" ht="10" customHeight="1" thickBot="1">
      <c r="A47" s="273" t="s">
        <v>116</v>
      </c>
      <c r="B47" s="702">
        <f>'OTHER COSTS'!BT48</f>
        <v>0</v>
      </c>
      <c r="D47" s="590" t="str">
        <f>CONCATENATE("ANNUAL EXPENDITURE (EX RUNNING COSTS) FOR ",$B$1)</f>
        <v>ANNUAL EXPENDITURE (EX RUNNING COSTS) FOR 2022</v>
      </c>
      <c r="E47" s="591"/>
      <c r="F47" s="591"/>
      <c r="G47" s="591"/>
      <c r="H47" s="591"/>
      <c r="I47" s="592">
        <f>SUM(I39:I46)</f>
        <v>7919.8100000000013</v>
      </c>
      <c r="J47" s="592">
        <f>SUM(J39:J46)</f>
        <v>7572</v>
      </c>
      <c r="K47" s="593">
        <f>SUM(K39:K46)</f>
        <v>-347.80999999999972</v>
      </c>
      <c r="L47" s="594"/>
      <c r="O47" s="532" t="str">
        <f>CONCATENATE("Scheduled maintenance budgets ",IF(-(K41+K45)&gt;200,"TOO SMALL",IF(K41+K45&gt;200,"OVER ESTIMATED","ABOUT RIGHT")))</f>
        <v>Scheduled maintenance budgets OVER ESTIMATED</v>
      </c>
    </row>
    <row r="48" spans="1:24" ht="10" customHeight="1" thickTop="1">
      <c r="A48" s="273" t="s">
        <v>50</v>
      </c>
      <c r="B48" s="703">
        <v>0</v>
      </c>
      <c r="D48" s="558"/>
      <c r="E48" s="559"/>
      <c r="F48" s="559"/>
      <c r="G48" s="559"/>
      <c r="H48" s="559"/>
      <c r="I48" s="596"/>
      <c r="J48" s="596"/>
      <c r="K48" s="597"/>
      <c r="L48" s="560"/>
      <c r="O48" s="788" t="str">
        <f>CONCATENATE(IF(ABS(J41-I41)&lt;10,"",IF(J41&lt;I41,"..#",".#")),IF(V48,".",""))</f>
        <v>.#.</v>
      </c>
      <c r="P48" s="532" t="str">
        <f>CONCATENATE("£",TEXT(ABS(J41),"0.00")," budgeted, ",TEXT(ABS(K41),"£0.00"),IF(K41&lt;0," overspent"," unused"))</f>
        <v>£655.00 budgeted, £64.42 unused</v>
      </c>
      <c r="T48" s="627" t="s">
        <v>157</v>
      </c>
      <c r="V48" s="555" t="b">
        <f>ABS(J41-I41)/J41&lt;0.1</f>
        <v>1</v>
      </c>
    </row>
    <row r="49" spans="1:27" ht="10" customHeight="1">
      <c r="A49" s="639" t="str">
        <f>'OTHER COSTS'!A50</f>
        <v>SPECIAL PROJECTS</v>
      </c>
      <c r="B49" s="702">
        <f>+TRIP_ACCOUNTS!U136</f>
        <v>4345.2699999999995</v>
      </c>
      <c r="C49" s="273"/>
      <c r="D49" s="273" t="str">
        <f>CONCATENATE("CARRIED FORWARD INTO ",$B$1+1," - End of ",$B$1," floating fund")</f>
        <v>CARRIED FORWARD INTO 2023 - End of 2022 floating fund</v>
      </c>
      <c r="I49" s="585">
        <f>D11</f>
        <v>295.63999999999828</v>
      </c>
      <c r="J49" s="585">
        <f>J32-J47</f>
        <v>936.39999999999964</v>
      </c>
      <c r="K49" s="583">
        <f>I49-J49</f>
        <v>-640.76000000000136</v>
      </c>
      <c r="L49" s="557"/>
      <c r="O49" s="532" t="str">
        <f>CONCATENATE("Special Projects budget ",IF(J44=0,"NO BUDGET",IF(I44/J44&gt;1.1,"TOO SMALL",IF(I44/J44&lt;0.5,"OVER ESTIMATED","ABOUT RIGHT"))))</f>
        <v>Special Projects budget TOO SMALL</v>
      </c>
    </row>
    <row r="50" spans="1:27" ht="10" customHeight="1" thickBot="1">
      <c r="A50" s="562" t="str">
        <f>CONCATENATE($B$1+1," EXPENDITURE PAID EARLY")</f>
        <v>2023 EXPENDITURE PAID EARLY</v>
      </c>
      <c r="B50" s="709">
        <f>'PROVISIONS &amp; SUBS'!G80</f>
        <v>290.99</v>
      </c>
      <c r="C50" s="273"/>
      <c r="D50" s="274" t="s">
        <v>54</v>
      </c>
      <c r="E50" s="275"/>
      <c r="F50" s="275"/>
      <c r="G50" s="275"/>
      <c r="H50" s="275"/>
      <c r="I50" s="439">
        <f>SUM(I47:I49)</f>
        <v>8215.4499999999989</v>
      </c>
      <c r="J50" s="439">
        <f>SUM(J47:J49)</f>
        <v>8508.4</v>
      </c>
      <c r="K50" s="601">
        <f>J50-I50</f>
        <v>292.95000000000073</v>
      </c>
      <c r="L50" s="615"/>
      <c r="O50" s="788" t="str">
        <f>CONCATENATE(IF(ABS(J44-I44)&lt;10,"",IF(J44&lt;I44,"..#",".#")),IF(V50,".",""))</f>
        <v>..#</v>
      </c>
      <c r="P50" s="606" t="str">
        <f>CONCATENATE("£",TEXT(ABS(J44),"0.00")," budgeted, £",TEXT(ABS(K44),"0.00"),IF(K44&gt;0, " unused"," overspent"))</f>
        <v>£3500.00 budgeted, £845.27 overspent</v>
      </c>
      <c r="R50" s="612"/>
      <c r="U50" s="272"/>
      <c r="V50" s="555" t="b">
        <f>ABS(J44-I44)/J44&lt;0.1</f>
        <v>0</v>
      </c>
    </row>
    <row r="51" spans="1:27" ht="10" customHeight="1" thickTop="1" thickBot="1">
      <c r="A51" s="558" t="s">
        <v>51</v>
      </c>
      <c r="B51" s="613">
        <f>SUM(B42:B49)+B40</f>
        <v>9973.5800000000017</v>
      </c>
      <c r="C51" s="273"/>
      <c r="L51" s="695"/>
      <c r="O51" s="532" t="str">
        <f>CONCATENATE("Provisions from last year ",IF(I46/J46&gt;1.1,"TOO SMALL",IF(I46/J46&lt;0.5,"OVER ESTIMATED","ABOUT RIGHT")))</f>
        <v>Provisions from last year ABOUT RIGHT</v>
      </c>
    </row>
    <row r="52" spans="1:27" ht="10" customHeight="1" thickTop="1" thickBot="1">
      <c r="A52" s="564" t="s">
        <v>53</v>
      </c>
      <c r="B52" s="614">
        <f>SUM(B51:B51)</f>
        <v>9973.5800000000017</v>
      </c>
      <c r="O52" s="788" t="str">
        <f>CONCATENATE(IF(ABS(J46-I46)&lt;10,"",IF(J46&lt;I46,"..#",".#")),IF(V50,".",""))</f>
        <v/>
      </c>
      <c r="P52" s="606" t="str">
        <f>CONCATENATE("£",TEXT(ABS(J46),"0.00")," provisioned, £",TEXT(ABS(K46),"0.00"),IF(K46&gt;0, " unused"," overspent"))</f>
        <v>£75.00 provisioned, £0.00 overspent</v>
      </c>
      <c r="R52" s="612"/>
      <c r="V52" s="555" t="b">
        <f>ABS(J46-I46)/J46&lt;0.1</f>
        <v>1</v>
      </c>
    </row>
    <row r="53" spans="1:27" ht="8" thickTop="1" thickBot="1"/>
    <row r="54" spans="1:27" ht="30.5" customHeight="1" thickTop="1">
      <c r="A54" s="804" t="s">
        <v>47</v>
      </c>
      <c r="B54" s="805"/>
      <c r="C54" s="720" t="s">
        <v>22</v>
      </c>
      <c r="D54" s="721" t="s">
        <v>17</v>
      </c>
      <c r="E54" s="722" t="s">
        <v>84</v>
      </c>
      <c r="F54" s="723" t="s">
        <v>87</v>
      </c>
      <c r="H54" s="616" t="s">
        <v>55</v>
      </c>
      <c r="N54" s="537" t="s">
        <v>3</v>
      </c>
      <c r="O54" s="542"/>
    </row>
    <row r="55" spans="1:27" ht="10.5" thickBot="1">
      <c r="A55" s="738"/>
      <c r="B55" s="713"/>
      <c r="C55" s="724"/>
      <c r="D55" s="725"/>
      <c r="E55" s="726">
        <f>D55-C55</f>
        <v>0</v>
      </c>
      <c r="F55" s="727"/>
      <c r="G55" s="273"/>
      <c r="N55" s="568" t="s">
        <v>57</v>
      </c>
      <c r="P55" s="532"/>
      <c r="Q55" s="532"/>
      <c r="R55" s="532"/>
      <c r="S55" s="532" t="s">
        <v>58</v>
      </c>
      <c r="T55" s="618">
        <f>DSUM($E$54:$F$99,1,W55:W56)</f>
        <v>-84.580000000000013</v>
      </c>
      <c r="W55" s="555" t="s">
        <v>88</v>
      </c>
      <c r="X55" s="555" t="s">
        <v>88</v>
      </c>
      <c r="Y55" s="555" t="s">
        <v>88</v>
      </c>
      <c r="Z55" s="272" t="s">
        <v>88</v>
      </c>
      <c r="AA55" s="272" t="s">
        <v>88</v>
      </c>
    </row>
    <row r="56" spans="1:27" ht="11" thickTop="1" thickBot="1">
      <c r="A56" s="668" t="str">
        <f>MAINTENANCE!B5</f>
        <v>Compliance: Arrange survey BSS Survey</v>
      </c>
      <c r="C56" s="619">
        <f>+MAINTENANCE!BT5</f>
        <v>165</v>
      </c>
      <c r="D56" s="438">
        <v>120</v>
      </c>
      <c r="E56" s="617">
        <f>IF(ISTEXT(D56),0,D56)-C56</f>
        <v>-45</v>
      </c>
      <c r="F56" s="696" t="s">
        <v>56</v>
      </c>
      <c r="G56" s="273" t="str">
        <f t="shared" ref="G56:G57" si="2">IF(F56="X","*",IF(OR(F56="P",F56="N"),"",IF(ABS(E56/IF(OR(D56="NIL",D56=0),0.001,D56))&gt;$J$1,IF(OR(ABS(E56)&gt;20,C56=0),IF(E56&lt;0,"&gt;","&lt;"),""),"")))</f>
        <v>&gt;</v>
      </c>
      <c r="N56" s="568" t="s">
        <v>158</v>
      </c>
      <c r="P56" s="532"/>
      <c r="Q56" s="532"/>
      <c r="R56" s="532"/>
      <c r="S56" s="532" t="s">
        <v>159</v>
      </c>
      <c r="T56" s="618">
        <f>DSUM($E$54:$F$99,1,X55:X56)</f>
        <v>0</v>
      </c>
      <c r="W56" s="555" t="s">
        <v>56</v>
      </c>
      <c r="X56" s="553" t="s">
        <v>160</v>
      </c>
      <c r="Y56" s="555" t="s">
        <v>59</v>
      </c>
      <c r="Z56" s="272" t="s">
        <v>62</v>
      </c>
      <c r="AA56" s="272" t="s">
        <v>98</v>
      </c>
    </row>
    <row r="57" spans="1:27" ht="11" thickTop="1">
      <c r="A57" s="668" t="str">
        <f>MAINTENANCE!B6</f>
        <v>Working w/e food</v>
      </c>
      <c r="C57" s="619">
        <f>+MAINTENANCE!BT6</f>
        <v>18.25</v>
      </c>
      <c r="D57" s="438">
        <v>50</v>
      </c>
      <c r="E57" s="617">
        <f t="shared" ref="E57:E93" si="3">IF(ISTEXT(D57),0,D57)-C57</f>
        <v>31.75</v>
      </c>
      <c r="F57" s="696" t="s">
        <v>56</v>
      </c>
      <c r="G57" s="273" t="str">
        <f t="shared" si="2"/>
        <v>&lt;</v>
      </c>
      <c r="H57" s="422" t="s">
        <v>60</v>
      </c>
      <c r="L57" s="569" t="str">
        <f>C54</f>
        <v>TOTAL</v>
      </c>
      <c r="N57" s="568" t="s">
        <v>117</v>
      </c>
      <c r="P57" s="532"/>
      <c r="Q57" s="532"/>
      <c r="R57" s="532"/>
      <c r="S57" s="532" t="s">
        <v>61</v>
      </c>
      <c r="T57" s="618">
        <f>DSUM($E$54:$F$99,1,Y55:Y56)</f>
        <v>70</v>
      </c>
    </row>
    <row r="58" spans="1:27" ht="10.5" thickBot="1">
      <c r="A58" s="668" t="str">
        <f>MAINTENANCE!B7</f>
        <v xml:space="preserve">Refurbish rear loo so bowl holds water, we have all the parts. </v>
      </c>
      <c r="C58" s="619">
        <f>+MAINTENANCE!BT7</f>
        <v>117.27000000000001</v>
      </c>
      <c r="D58" s="438" t="s">
        <v>232</v>
      </c>
      <c r="E58" s="617">
        <f t="shared" ref="E58:E68" si="4">IF(ISTEXT(D58),0,D58)-C58</f>
        <v>-117.27000000000001</v>
      </c>
      <c r="F58" s="696" t="s">
        <v>56</v>
      </c>
      <c r="G58" s="273" t="str">
        <f t="shared" ref="G58:G85" si="5">IF(F58="X","*",IF(OR(F58="P",F58="N"),"",IF(ABS(E58/IF(OR(D58="NIL",D58=0),0.001,D58))&gt;$J$1,IF(OR(ABS(E58)&gt;20,C58=0),IF(E58&lt;0,"&gt;","&lt;"),""),"")))</f>
        <v>&gt;</v>
      </c>
      <c r="J58" s="573"/>
      <c r="L58" s="620"/>
      <c r="N58" s="568" t="s">
        <v>189</v>
      </c>
      <c r="P58" s="532"/>
      <c r="Q58" s="532"/>
      <c r="R58" s="532"/>
      <c r="S58" s="532" t="s">
        <v>63</v>
      </c>
      <c r="T58" s="618">
        <f>DSUM($E$54:$F$99,1,Z55:Z56)</f>
        <v>79</v>
      </c>
      <c r="W58" s="621"/>
    </row>
    <row r="59" spans="1:27" ht="11" thickTop="1" thickBot="1">
      <c r="A59" s="668" t="str">
        <f>MAINTENANCE!B8</f>
        <v>De-winterise replace water pump if necessary</v>
      </c>
      <c r="C59" s="619">
        <f>+MAINTENANCE!BT8</f>
        <v>0</v>
      </c>
      <c r="D59" s="438">
        <v>100</v>
      </c>
      <c r="E59" s="617">
        <f t="shared" si="4"/>
        <v>100</v>
      </c>
      <c r="F59" s="696" t="s">
        <v>56</v>
      </c>
      <c r="G59" s="273" t="str">
        <f t="shared" si="5"/>
        <v>&lt;</v>
      </c>
      <c r="H59" s="793" t="str">
        <f>+'OTHER COSTS'!A6</f>
        <v>New Gas Regualtor as advised after BSS</v>
      </c>
      <c r="I59" s="792"/>
      <c r="J59" s="279"/>
      <c r="K59" s="279"/>
      <c r="L59" s="790">
        <f>+'OTHER COSTS'!BT6</f>
        <v>86.5</v>
      </c>
      <c r="T59" s="671">
        <f>SUM(T55:T58)</f>
        <v>64.419999999999987</v>
      </c>
      <c r="W59" s="621"/>
    </row>
    <row r="60" spans="1:27" ht="10.5" thickTop="1">
      <c r="A60" s="668" t="str">
        <f>MAINTENANCE!B9</f>
        <v>Restock water filters &amp; Freezeban</v>
      </c>
      <c r="C60" s="619">
        <f>+MAINTENANCE!BT9</f>
        <v>0</v>
      </c>
      <c r="D60" s="438">
        <v>70</v>
      </c>
      <c r="E60" s="617">
        <f t="shared" si="4"/>
        <v>70</v>
      </c>
      <c r="F60" s="696" t="s">
        <v>59</v>
      </c>
      <c r="G60" s="273" t="str">
        <f t="shared" si="5"/>
        <v>*</v>
      </c>
      <c r="H60" s="794" t="str">
        <f>+'OTHER COSTS'!A7</f>
        <v>Replacement small pump in box in boiler cupboard</v>
      </c>
      <c r="L60" s="791">
        <f>+'OTHER COSTS'!BT7</f>
        <v>36.799999999999997</v>
      </c>
      <c r="N60" s="568" t="s">
        <v>101</v>
      </c>
      <c r="P60" s="532"/>
      <c r="Q60" s="532"/>
      <c r="R60" s="532"/>
      <c r="S60" s="568" t="s">
        <v>144</v>
      </c>
      <c r="T60" s="618">
        <f>'PROVISIONS &amp; SUBS'!I60</f>
        <v>0</v>
      </c>
      <c r="X60" s="623"/>
      <c r="Y60" s="623"/>
    </row>
    <row r="61" spans="1:27">
      <c r="A61" s="668" t="str">
        <f>MAINTENANCE!B10</f>
        <v>Re-stock first aid kit as needed</v>
      </c>
      <c r="C61" s="619">
        <f>+MAINTENANCE!BT10</f>
        <v>0</v>
      </c>
      <c r="D61" s="438">
        <v>15</v>
      </c>
      <c r="E61" s="617">
        <f t="shared" si="4"/>
        <v>15</v>
      </c>
      <c r="F61" s="696" t="s">
        <v>56</v>
      </c>
      <c r="G61" s="273" t="str">
        <f t="shared" si="5"/>
        <v>&lt;</v>
      </c>
      <c r="H61" s="794" t="str">
        <f>+'OTHER COSTS'!A8</f>
        <v>Signage replacement</v>
      </c>
      <c r="L61" s="791">
        <f>+'OTHER COSTS'!BT8</f>
        <v>9.9</v>
      </c>
      <c r="Z61" s="555"/>
      <c r="AA61" s="555"/>
    </row>
    <row r="62" spans="1:27" ht="10">
      <c r="A62" s="668" t="str">
        <f>MAINTENANCE!B11</f>
        <v>Clean boat for start of season</v>
      </c>
      <c r="C62" s="619">
        <f>+MAINTENANCE!BT11</f>
        <v>0</v>
      </c>
      <c r="D62" s="438">
        <v>20</v>
      </c>
      <c r="E62" s="617">
        <f t="shared" si="4"/>
        <v>20</v>
      </c>
      <c r="F62" s="696" t="s">
        <v>56</v>
      </c>
      <c r="G62" s="273" t="str">
        <f t="shared" si="5"/>
        <v>&lt;</v>
      </c>
      <c r="H62" s="794" t="str">
        <f>+'OTHER COSTS'!A9</f>
        <v>Engineer to fit Gas Regulator</v>
      </c>
      <c r="L62" s="791">
        <f>+'OTHER COSTS'!BT9</f>
        <v>160</v>
      </c>
      <c r="N62" s="277" t="s">
        <v>190</v>
      </c>
      <c r="S62" s="626" t="s">
        <v>118</v>
      </c>
      <c r="T62" s="672" t="str">
        <f ca="1">CONCATENATE("Residue= ",TEXT(SUM(S63:S63),"£0.00"))</f>
        <v>Residue= £0.00</v>
      </c>
      <c r="U62" s="272"/>
      <c r="V62" s="625"/>
      <c r="W62" s="625"/>
      <c r="Z62" s="555"/>
      <c r="AA62" s="555"/>
    </row>
    <row r="63" spans="1:27">
      <c r="A63" s="668" t="str">
        <f>MAINTENANCE!B12</f>
        <v xml:space="preserve">Service engine (oil &amp; filters start + mid season)  </v>
      </c>
      <c r="C63" s="619">
        <f>+MAINTENANCE!BT12</f>
        <v>0</v>
      </c>
      <c r="D63" s="438">
        <v>26</v>
      </c>
      <c r="E63" s="617">
        <f t="shared" si="4"/>
        <v>26</v>
      </c>
      <c r="F63" s="696" t="s">
        <v>56</v>
      </c>
      <c r="G63" s="273" t="str">
        <f t="shared" si="5"/>
        <v>&lt;</v>
      </c>
      <c r="H63" s="794" t="str">
        <f>+'OTHER COSTS'!A10</f>
        <v>New Lifebuoy and Line</v>
      </c>
      <c r="L63" s="791">
        <f>+'OTHER COSTS'!BT10</f>
        <v>58.32</v>
      </c>
      <c r="N63" s="272" t="str">
        <f ca="1">IF(V63&gt;0,INDIRECT(W63),"")</f>
        <v/>
      </c>
      <c r="S63" s="272" t="str">
        <f t="shared" ref="S63" ca="1" si="6">IF(V63&gt;0,INDIRECT(X63),"")</f>
        <v/>
      </c>
      <c r="T63" s="638"/>
      <c r="V63" s="625"/>
      <c r="W63" s="555" t="str">
        <f>CONCATENATE("A",V63)</f>
        <v>A</v>
      </c>
      <c r="X63" s="555" t="str">
        <f>CONCATENATE("D",V63)</f>
        <v>D</v>
      </c>
      <c r="Y63" s="555" t="str">
        <f>CONCATENATE("E",V63)</f>
        <v>E</v>
      </c>
    </row>
    <row r="64" spans="1:27" ht="10">
      <c r="A64" s="668" t="str">
        <f>MAINTENANCE!B13</f>
        <v>Monitor water pump voltage problem</v>
      </c>
      <c r="C64" s="619">
        <f>+MAINTENANCE!BT13</f>
        <v>0</v>
      </c>
      <c r="D64" s="438" t="s">
        <v>232</v>
      </c>
      <c r="E64" s="617">
        <f t="shared" si="4"/>
        <v>0</v>
      </c>
      <c r="F64" s="696" t="s">
        <v>56</v>
      </c>
      <c r="G64" s="273" t="str">
        <f t="shared" si="5"/>
        <v/>
      </c>
      <c r="H64" s="794" t="str">
        <f>+'OTHER COSTS'!A11</f>
        <v>Olympic.me.uk domain renewal until 29/1/2024</v>
      </c>
      <c r="L64" s="791">
        <f>+'OTHER COSTS'!BT11</f>
        <v>19.98</v>
      </c>
      <c r="N64" s="277" t="s">
        <v>187</v>
      </c>
      <c r="S64" s="272" t="str">
        <f t="shared" ref="S64:S69" ca="1" si="7">IF(V64&gt;0,INDIRECT(X64),"")</f>
        <v/>
      </c>
      <c r="T64" s="672" t="str">
        <f ca="1">CONCATENATE("Residue= ",TEXT(SUM(S65:S78),"£0.00"))</f>
        <v>Residue= £210.00</v>
      </c>
      <c r="V64" s="625"/>
    </row>
    <row r="65" spans="1:27">
      <c r="A65" s="668" t="str">
        <f>MAINTENANCE!B14</f>
        <v>Check for water leaks under kitchen sink as possible cause of smell</v>
      </c>
      <c r="C65" s="619">
        <f>+MAINTENANCE!BT14</f>
        <v>0</v>
      </c>
      <c r="D65" s="438" t="s">
        <v>232</v>
      </c>
      <c r="E65" s="617">
        <f t="shared" si="4"/>
        <v>0</v>
      </c>
      <c r="F65" s="696" t="s">
        <v>56</v>
      </c>
      <c r="G65" s="273" t="str">
        <f t="shared" si="5"/>
        <v/>
      </c>
      <c r="H65" s="794" t="str">
        <f>+'OTHER COSTS'!A12</f>
        <v>Starter battery from Halfords Bolton</v>
      </c>
      <c r="L65" s="791">
        <f>+'OTHER COSTS'!BT12</f>
        <v>54.99</v>
      </c>
      <c r="N65" s="272" t="str">
        <f t="shared" ref="N65:N70" ca="1" si="8">IF(V65&gt;0,INDIRECT(W65),"")</f>
        <v>Check for water leaks under kitchen sink as possible cause of smell</v>
      </c>
      <c r="S65" s="577" t="str">
        <f t="shared" ca="1" si="7"/>
        <v>NIL</v>
      </c>
      <c r="T65" s="638"/>
      <c r="V65" s="625">
        <v>65</v>
      </c>
      <c r="W65" s="555" t="str">
        <f t="shared" ref="W65:W70" si="9">CONCATENATE("A",V65)</f>
        <v>A65</v>
      </c>
      <c r="X65" s="555" t="str">
        <f t="shared" ref="X65:X70" si="10">CONCATENATE("D",V65)</f>
        <v>D65</v>
      </c>
      <c r="Y65" s="555" t="str">
        <f t="shared" ref="Y65:Y70" si="11">CONCATENATE("E",V65)</f>
        <v>E65</v>
      </c>
    </row>
    <row r="66" spans="1:27">
      <c r="A66" s="668" t="str">
        <f>MAINTENANCE!B15</f>
        <v xml:space="preserve">Shelving in dining area - wire stops, </v>
      </c>
      <c r="C66" s="619">
        <f>+MAINTENANCE!BT15</f>
        <v>0</v>
      </c>
      <c r="D66" s="438">
        <v>5</v>
      </c>
      <c r="E66" s="617">
        <f t="shared" si="4"/>
        <v>5</v>
      </c>
      <c r="F66" s="696" t="s">
        <v>62</v>
      </c>
      <c r="G66" s="273" t="str">
        <f t="shared" si="5"/>
        <v/>
      </c>
      <c r="H66" s="794" t="str">
        <f>+'OTHER COSTS'!A13</f>
        <v>Alternator test</v>
      </c>
      <c r="L66" s="791">
        <f>+'OTHER COSTS'!BT13</f>
        <v>14</v>
      </c>
      <c r="N66" s="272" t="str">
        <f t="shared" ca="1" si="8"/>
        <v xml:space="preserve">Shelving in dining area - wire stops, </v>
      </c>
      <c r="S66" s="577">
        <f t="shared" ca="1" si="7"/>
        <v>5</v>
      </c>
      <c r="T66" s="638"/>
      <c r="V66" s="625">
        <v>66</v>
      </c>
      <c r="W66" s="555" t="str">
        <f t="shared" si="9"/>
        <v>A66</v>
      </c>
      <c r="X66" s="555" t="str">
        <f t="shared" si="10"/>
        <v>D66</v>
      </c>
      <c r="Y66" s="555" t="str">
        <f t="shared" si="11"/>
        <v>E66</v>
      </c>
    </row>
    <row r="67" spans="1:27">
      <c r="A67" s="668" t="str">
        <f>MAINTENANCE!B16</f>
        <v xml:space="preserve">Organize boxes in Boiler Cupboard. </v>
      </c>
      <c r="C67" s="619">
        <f>+MAINTENANCE!BT16</f>
        <v>0</v>
      </c>
      <c r="D67" s="438" t="s">
        <v>232</v>
      </c>
      <c r="E67" s="617">
        <f t="shared" si="4"/>
        <v>0</v>
      </c>
      <c r="F67" s="696" t="s">
        <v>62</v>
      </c>
      <c r="G67" s="273" t="str">
        <f t="shared" si="5"/>
        <v/>
      </c>
      <c r="H67" s="794" t="str">
        <f>+'OTHER COSTS'!A14</f>
        <v>2023 Licence (paid 2022  &amp; provisioned from 2023)</v>
      </c>
      <c r="L67" s="622">
        <f>+'OTHER COSTS'!BT14</f>
        <v>290.99</v>
      </c>
      <c r="N67" s="272" t="str">
        <f t="shared" ca="1" si="8"/>
        <v xml:space="preserve">Organize boxes in Boiler Cupboard. </v>
      </c>
      <c r="S67" s="577" t="str">
        <f t="shared" ca="1" si="7"/>
        <v>NIL</v>
      </c>
      <c r="T67" s="638"/>
      <c r="V67" s="625">
        <v>67</v>
      </c>
      <c r="W67" s="555" t="str">
        <f t="shared" si="9"/>
        <v>A67</v>
      </c>
      <c r="X67" s="555" t="str">
        <f t="shared" si="10"/>
        <v>D67</v>
      </c>
      <c r="Y67" s="555" t="str">
        <f t="shared" si="11"/>
        <v>E67</v>
      </c>
    </row>
    <row r="68" spans="1:27">
      <c r="A68" s="668" t="str">
        <f>MAINTENANCE!B17</f>
        <v>Lights replacement/upgrade Replace faulty lights where necessary</v>
      </c>
      <c r="C68" s="619">
        <f>+MAINTENANCE!BT17</f>
        <v>0</v>
      </c>
      <c r="D68" s="437">
        <v>30</v>
      </c>
      <c r="E68" s="617">
        <f t="shared" si="4"/>
        <v>30</v>
      </c>
      <c r="F68" s="696" t="s">
        <v>62</v>
      </c>
      <c r="G68" s="273" t="str">
        <f t="shared" si="5"/>
        <v/>
      </c>
      <c r="H68" s="794" t="str">
        <f>+'OTHER COSTS'!A15</f>
        <v>Postage to return Sterling Unit</v>
      </c>
      <c r="L68" s="622">
        <f>+'OTHER COSTS'!BT15</f>
        <v>6.95</v>
      </c>
      <c r="N68" s="272" t="str">
        <f t="shared" ca="1" si="8"/>
        <v>Clean bilge</v>
      </c>
      <c r="S68" s="577" t="str">
        <f t="shared" ca="1" si="7"/>
        <v>NIL</v>
      </c>
      <c r="T68" s="638"/>
      <c r="V68" s="625">
        <v>73</v>
      </c>
      <c r="W68" s="555" t="str">
        <f t="shared" si="9"/>
        <v>A73</v>
      </c>
      <c r="X68" s="555" t="str">
        <f t="shared" si="10"/>
        <v>D73</v>
      </c>
      <c r="Y68" s="555" t="str">
        <f t="shared" si="11"/>
        <v>E73</v>
      </c>
    </row>
    <row r="69" spans="1:27">
      <c r="A69" s="668" t="str">
        <f>MAINTENANCE!B18</f>
        <v>Replace boiler</v>
      </c>
      <c r="B69" s="802" t="s">
        <v>261</v>
      </c>
      <c r="C69" s="803"/>
      <c r="D69" s="438">
        <v>3500</v>
      </c>
      <c r="E69" s="617"/>
      <c r="F69" s="696" t="s">
        <v>56</v>
      </c>
      <c r="G69" s="273" t="str">
        <f t="shared" si="5"/>
        <v/>
      </c>
      <c r="H69" s="794" t="str">
        <f>+'OTHER COSTS'!A16</f>
        <v>Sterling Unit repair+new shunt &amp; alternator temp. sensor</v>
      </c>
      <c r="L69" s="622">
        <f>+'OTHER COSTS'!BT16</f>
        <v>93.04</v>
      </c>
      <c r="N69" s="272" t="str">
        <f t="shared" ca="1" si="8"/>
        <v>Repair/replace rear door</v>
      </c>
      <c r="S69" s="577">
        <f t="shared" ca="1" si="7"/>
        <v>20</v>
      </c>
      <c r="T69" s="638"/>
      <c r="V69" s="625">
        <v>74</v>
      </c>
      <c r="W69" s="555" t="str">
        <f t="shared" si="9"/>
        <v>A74</v>
      </c>
      <c r="X69" s="555" t="str">
        <f t="shared" si="10"/>
        <v>D74</v>
      </c>
      <c r="Y69" s="555" t="str">
        <f t="shared" si="11"/>
        <v>E74</v>
      </c>
      <c r="Z69" s="555"/>
      <c r="AA69" s="555"/>
    </row>
    <row r="70" spans="1:27">
      <c r="A70" s="668" t="str">
        <f>MAINTENANCE!B19</f>
        <v>Gas cooker - Install shelf if not replaced</v>
      </c>
      <c r="C70" s="619">
        <f>+MAINTENANCE!BT19</f>
        <v>65.97</v>
      </c>
      <c r="D70" s="438" t="s">
        <v>232</v>
      </c>
      <c r="E70" s="617">
        <f t="shared" ref="E70:E84" si="12">IF(ISTEXT(D70),0,D70)-C70</f>
        <v>-65.97</v>
      </c>
      <c r="F70" s="696" t="s">
        <v>56</v>
      </c>
      <c r="G70" s="273" t="str">
        <f t="shared" si="5"/>
        <v>&gt;</v>
      </c>
      <c r="H70" s="794" t="str">
        <f>+'OTHER COSTS'!A17</f>
        <v>Purchase of new Alternator (incls. delivery) SEE PROVISION</v>
      </c>
      <c r="L70" s="622">
        <f>+'OTHER COSTS'!BT17</f>
        <v>436.28</v>
      </c>
      <c r="N70" s="272" t="str">
        <f t="shared" ca="1" si="8"/>
        <v>Repaint boathooks and poles</v>
      </c>
      <c r="S70" s="577" t="str">
        <f t="shared" ref="S70" ca="1" si="13">IF(V70&gt;0,INDIRECT(X70),"")</f>
        <v>NIL</v>
      </c>
      <c r="T70" s="638"/>
      <c r="V70" s="625">
        <v>79</v>
      </c>
      <c r="W70" s="555" t="str">
        <f t="shared" si="9"/>
        <v>A79</v>
      </c>
      <c r="X70" s="555" t="str">
        <f t="shared" si="10"/>
        <v>D79</v>
      </c>
      <c r="Y70" s="555" t="str">
        <f t="shared" si="11"/>
        <v>E79</v>
      </c>
    </row>
    <row r="71" spans="1:27">
      <c r="A71" s="668" t="str">
        <f>MAINTENANCE!B20</f>
        <v>Clean and repaint metal supports under rear counter boards and steps</v>
      </c>
      <c r="C71" s="619">
        <f>+MAINTENANCE!BT20</f>
        <v>0</v>
      </c>
      <c r="D71" s="438" t="s">
        <v>232</v>
      </c>
      <c r="E71" s="617">
        <f t="shared" si="12"/>
        <v>0</v>
      </c>
      <c r="F71" s="696" t="s">
        <v>56</v>
      </c>
      <c r="G71" s="273" t="str">
        <f t="shared" si="5"/>
        <v/>
      </c>
      <c r="H71" s="794" t="str">
        <f>+'OTHER COSTS'!A18</f>
        <v xml:space="preserve">P&amp;P to return new alternator (estimated £16.45 not paid but privisioned) </v>
      </c>
      <c r="L71" s="622">
        <f>+'OTHER COSTS'!BT18</f>
        <v>0</v>
      </c>
    </row>
    <row r="72" spans="1:27" ht="10">
      <c r="A72" s="668" t="str">
        <f>MAINTENANCE!B21</f>
        <v>Complete drainage slots in rubber mats over rear boards and add pieces to steps</v>
      </c>
      <c r="C72" s="619">
        <f>+MAINTENANCE!BT21</f>
        <v>0</v>
      </c>
      <c r="D72" s="438" t="s">
        <v>232</v>
      </c>
      <c r="E72" s="617">
        <f t="shared" si="12"/>
        <v>0</v>
      </c>
      <c r="F72" s="696" t="s">
        <v>56</v>
      </c>
      <c r="G72" s="273" t="str">
        <f t="shared" si="5"/>
        <v/>
      </c>
      <c r="H72" s="273">
        <f>+'OTHER COSTS'!A19</f>
        <v>0</v>
      </c>
      <c r="L72" s="622">
        <f>+'OTHER COSTS'!BT19</f>
        <v>0</v>
      </c>
      <c r="N72" s="277" t="s">
        <v>169</v>
      </c>
      <c r="T72" s="672" t="str">
        <f ca="1">CONCATENATE("Residue= ",TEXT(SUM(T73:T73),"£0.00"))</f>
        <v>Residue= £0.00</v>
      </c>
      <c r="V72" s="625"/>
    </row>
    <row r="73" spans="1:27">
      <c r="A73" s="668" t="str">
        <f>MAINTENANCE!B22</f>
        <v>Clean bilge</v>
      </c>
      <c r="C73" s="619">
        <f>+MAINTENANCE!BT22</f>
        <v>0</v>
      </c>
      <c r="D73" s="438" t="s">
        <v>232</v>
      </c>
      <c r="E73" s="617">
        <f t="shared" si="12"/>
        <v>0</v>
      </c>
      <c r="F73" s="696" t="s">
        <v>56</v>
      </c>
      <c r="G73" s="273" t="str">
        <f t="shared" si="5"/>
        <v/>
      </c>
      <c r="H73" s="273">
        <f>+'OTHER COSTS'!A20</f>
        <v>0</v>
      </c>
      <c r="L73" s="622">
        <f>+'OTHER COSTS'!BT20</f>
        <v>0</v>
      </c>
      <c r="N73" s="272" t="str">
        <f ca="1">IF(V73&gt;0,INDIRECT(W73),"")</f>
        <v/>
      </c>
      <c r="S73" s="272" t="str">
        <f ca="1">IF(V73&gt;0,INDIRECT(X73),"")</f>
        <v/>
      </c>
      <c r="T73" s="635" t="str">
        <f ca="1">IF(V73&gt;0,INDIRECT(Y73),"")</f>
        <v/>
      </c>
      <c r="V73" s="625"/>
      <c r="W73" s="555" t="str">
        <f>CONCATENATE("A",V73)</f>
        <v>A</v>
      </c>
      <c r="X73" s="555" t="str">
        <f>CONCATENATE("D",V73)</f>
        <v>D</v>
      </c>
      <c r="Y73" s="555" t="str">
        <f>CONCATENATE("E",V73)</f>
        <v>E</v>
      </c>
    </row>
    <row r="74" spans="1:27" ht="10.5" thickBot="1">
      <c r="A74" s="668" t="str">
        <f>MAINTENANCE!B23</f>
        <v>Repair/replace rear door</v>
      </c>
      <c r="C74" s="619">
        <f>+MAINTENANCE!BT23</f>
        <v>0</v>
      </c>
      <c r="D74" s="438">
        <v>20</v>
      </c>
      <c r="E74" s="617">
        <f t="shared" si="12"/>
        <v>20</v>
      </c>
      <c r="F74" s="696" t="s">
        <v>62</v>
      </c>
      <c r="G74" s="273" t="str">
        <f t="shared" si="5"/>
        <v/>
      </c>
      <c r="H74" s="274" t="s">
        <v>22</v>
      </c>
      <c r="I74" s="275"/>
      <c r="J74" s="275"/>
      <c r="K74" s="275"/>
      <c r="L74" s="276">
        <f>SUM(L55:L73)</f>
        <v>1267.75</v>
      </c>
      <c r="N74" s="277" t="str">
        <f>CONCATENATE("Completed jobs significantly under budget (&lt;",$J$1*100,"%) ")</f>
        <v xml:space="preserve">Completed jobs significantly under budget (&lt;25%) </v>
      </c>
      <c r="T74" s="672" t="str">
        <f ca="1">CONCATENATE("Residue= ",TEXT(SUM(T75:T78),"£0.00"))</f>
        <v>Residue= £166.75</v>
      </c>
      <c r="U74" s="272"/>
      <c r="V74" s="625"/>
    </row>
    <row r="75" spans="1:27" ht="8" thickTop="1" thickBot="1">
      <c r="A75" s="668" t="str">
        <f>MAINTENANCE!B24</f>
        <v xml:space="preserve">Replace missing slats in airing cupboard and rear cabin doors </v>
      </c>
      <c r="C75" s="619">
        <f>+MAINTENANCE!BT24</f>
        <v>0</v>
      </c>
      <c r="D75" s="438">
        <v>19</v>
      </c>
      <c r="E75" s="617">
        <f t="shared" si="12"/>
        <v>19</v>
      </c>
      <c r="F75" s="696" t="s">
        <v>62</v>
      </c>
      <c r="G75" s="273" t="str">
        <f t="shared" si="5"/>
        <v/>
      </c>
      <c r="N75" s="272" t="str">
        <f t="shared" ref="N75:N78" ca="1" si="14">IF(V75&gt;0,INDIRECT(W75),"")</f>
        <v>Working w/e food</v>
      </c>
      <c r="S75" s="272">
        <f t="shared" ref="S75:S78" ca="1" si="15">IF(V75&gt;0,INDIRECT(X75),"")</f>
        <v>50</v>
      </c>
      <c r="T75" s="635">
        <f ca="1">IF(V75&gt;0,INDIRECT(Y75),"")</f>
        <v>31.75</v>
      </c>
      <c r="V75" s="625">
        <v>57</v>
      </c>
      <c r="W75" s="555" t="str">
        <f t="shared" ref="W75:W78" si="16">CONCATENATE("A",V75)</f>
        <v>A57</v>
      </c>
      <c r="X75" s="555" t="str">
        <f t="shared" ref="X75:X78" si="17">CONCATENATE("D",V75)</f>
        <v>D57</v>
      </c>
      <c r="Y75" s="555" t="str">
        <f t="shared" ref="Y75:Y78" si="18">CONCATENATE("E",V75)</f>
        <v>E57</v>
      </c>
    </row>
    <row r="76" spans="1:27" ht="11" thickTop="1">
      <c r="A76" s="668" t="str">
        <f>MAINTENANCE!B25</f>
        <v>Replace broken hinge on side hatch door</v>
      </c>
      <c r="C76" s="619">
        <f>+MAINTENANCE!BT25</f>
        <v>15</v>
      </c>
      <c r="D76" s="438">
        <v>30</v>
      </c>
      <c r="E76" s="617">
        <f t="shared" si="12"/>
        <v>15</v>
      </c>
      <c r="F76" s="696" t="s">
        <v>56</v>
      </c>
      <c r="G76" s="273" t="str">
        <f t="shared" si="5"/>
        <v/>
      </c>
      <c r="H76" s="422" t="str">
        <f>CONCATENATE("PROVISIONED INTO ",Summary!$B$1+1)</f>
        <v>PROVISIONED INTO 2023</v>
      </c>
      <c r="I76" s="422"/>
      <c r="J76" s="422"/>
      <c r="K76" s="425"/>
      <c r="L76" s="569" t="s">
        <v>22</v>
      </c>
      <c r="N76" s="272" t="str">
        <f t="shared" ca="1" si="14"/>
        <v>De-winterise replace water pump if necessary</v>
      </c>
      <c r="S76" s="272">
        <f t="shared" ca="1" si="15"/>
        <v>100</v>
      </c>
      <c r="T76" s="635">
        <f ca="1">IF(V76&gt;0,INDIRECT(Y76),"")</f>
        <v>100</v>
      </c>
      <c r="U76" s="272"/>
      <c r="V76" s="625">
        <v>59</v>
      </c>
      <c r="W76" s="555" t="str">
        <f t="shared" si="16"/>
        <v>A59</v>
      </c>
      <c r="X76" s="555" t="str">
        <f t="shared" si="17"/>
        <v>D59</v>
      </c>
      <c r="Y76" s="555" t="str">
        <f t="shared" si="18"/>
        <v>E59</v>
      </c>
    </row>
    <row r="77" spans="1:27" ht="11" thickBot="1">
      <c r="A77" s="668" t="str">
        <f>MAINTENANCE!B26</f>
        <v>Clean roof</v>
      </c>
      <c r="C77" s="619">
        <f>+MAINTENANCE!BT26</f>
        <v>0</v>
      </c>
      <c r="D77" s="438" t="s">
        <v>232</v>
      </c>
      <c r="E77" s="617">
        <f t="shared" si="12"/>
        <v>0</v>
      </c>
      <c r="F77" s="696" t="s">
        <v>56</v>
      </c>
      <c r="G77" s="273" t="str">
        <f t="shared" si="5"/>
        <v/>
      </c>
      <c r="H77" s="426"/>
      <c r="I77" s="426"/>
      <c r="J77" s="426"/>
      <c r="K77" s="427"/>
      <c r="L77" s="620"/>
      <c r="N77" s="272" t="str">
        <f t="shared" ca="1" si="14"/>
        <v>Re-stock first aid kit as needed</v>
      </c>
      <c r="S77" s="272">
        <f t="shared" ca="1" si="15"/>
        <v>15</v>
      </c>
      <c r="T77" s="635">
        <f ca="1">IF(V77&gt;0,INDIRECT(Y77),"")</f>
        <v>15</v>
      </c>
      <c r="V77" s="625">
        <v>61</v>
      </c>
      <c r="W77" s="555" t="str">
        <f t="shared" si="16"/>
        <v>A61</v>
      </c>
      <c r="X77" s="555" t="str">
        <f t="shared" si="17"/>
        <v>D61</v>
      </c>
      <c r="Y77" s="555" t="str">
        <f t="shared" si="18"/>
        <v>E61</v>
      </c>
    </row>
    <row r="78" spans="1:27" ht="7.5" thickTop="1">
      <c r="A78" s="668" t="str">
        <f>MAINTENANCE!B27</f>
        <v>Touch up paint where necessary</v>
      </c>
      <c r="C78" s="619">
        <f>+MAINTENANCE!BT27</f>
        <v>55.16</v>
      </c>
      <c r="D78" s="438" t="s">
        <v>232</v>
      </c>
      <c r="E78" s="617">
        <f t="shared" si="12"/>
        <v>-55.16</v>
      </c>
      <c r="F78" s="696" t="s">
        <v>56</v>
      </c>
      <c r="G78" s="273" t="str">
        <f t="shared" si="5"/>
        <v>&gt;</v>
      </c>
      <c r="H78" s="538" t="str">
        <f>'PROVISIONS &amp; SUBS'!A75</f>
        <v>2023 Licence</v>
      </c>
      <c r="I78" s="279"/>
      <c r="J78" s="279"/>
      <c r="K78" s="279"/>
      <c r="L78" s="628">
        <f>'PROVISIONS &amp; SUBS'!G75</f>
        <v>290.99</v>
      </c>
      <c r="N78" s="272" t="str">
        <f t="shared" ca="1" si="14"/>
        <v>Clean boat for start of season</v>
      </c>
      <c r="S78" s="272">
        <f t="shared" ca="1" si="15"/>
        <v>20</v>
      </c>
      <c r="T78" s="635">
        <f ca="1">IF(V78&gt;0,INDIRECT(Y78),"")</f>
        <v>20</v>
      </c>
      <c r="V78" s="625">
        <v>62</v>
      </c>
      <c r="W78" s="555" t="str">
        <f t="shared" si="16"/>
        <v>A62</v>
      </c>
      <c r="X78" s="555" t="str">
        <f t="shared" si="17"/>
        <v>D62</v>
      </c>
      <c r="Y78" s="555" t="str">
        <f t="shared" si="18"/>
        <v>E62</v>
      </c>
    </row>
    <row r="79" spans="1:27">
      <c r="A79" s="668" t="str">
        <f>MAINTENANCE!B28</f>
        <v>Repaint boathooks and poles</v>
      </c>
      <c r="C79" s="619">
        <f>+MAINTENANCE!BT28</f>
        <v>0</v>
      </c>
      <c r="D79" s="438" t="s">
        <v>232</v>
      </c>
      <c r="E79" s="617">
        <f t="shared" si="12"/>
        <v>0</v>
      </c>
      <c r="F79" s="696" t="s">
        <v>56</v>
      </c>
      <c r="G79" s="273" t="str">
        <f t="shared" si="5"/>
        <v/>
      </c>
      <c r="H79" s="273" t="str">
        <f>'PROVISIONS &amp; SUBS'!A54</f>
        <v>Refund for new Alternator from supplier (net of £16.45 postage)</v>
      </c>
      <c r="L79" s="629">
        <f>'PROVISIONS &amp; SUBS'!G54</f>
        <v>419.83</v>
      </c>
      <c r="N79" s="272" t="str">
        <f t="shared" ref="N79:N80" ca="1" si="19">IF(V79&gt;0,INDIRECT(W79),"")</f>
        <v xml:space="preserve">Service engine (oil &amp; filters start + mid season)  </v>
      </c>
      <c r="S79" s="272">
        <f t="shared" ref="S79:S80" ca="1" si="20">IF(V79&gt;0,INDIRECT(X79),"")</f>
        <v>26</v>
      </c>
      <c r="T79" s="635">
        <f t="shared" ref="T79:T80" ca="1" si="21">IF(V79&gt;0,INDIRECT(Y79),"")</f>
        <v>26</v>
      </c>
      <c r="V79" s="625">
        <v>63</v>
      </c>
      <c r="W79" s="555" t="str">
        <f t="shared" ref="W79:W80" si="22">CONCATENATE("A",V79)</f>
        <v>A63</v>
      </c>
      <c r="X79" s="555" t="str">
        <f t="shared" ref="X79:X80" si="23">CONCATENATE("D",V79)</f>
        <v>D63</v>
      </c>
      <c r="Y79" s="555" t="str">
        <f t="shared" ref="Y79:Y80" si="24">CONCATENATE("E",V79)</f>
        <v>E63</v>
      </c>
    </row>
    <row r="80" spans="1:27" ht="7.5" thickBot="1">
      <c r="A80" s="668" t="str">
        <f>MAINTENANCE!B29</f>
        <v>Repair folding table leg</v>
      </c>
      <c r="C80" s="619">
        <f>+MAINTENANCE!BT29</f>
        <v>0</v>
      </c>
      <c r="D80" s="438">
        <v>5</v>
      </c>
      <c r="E80" s="617">
        <f t="shared" si="12"/>
        <v>5</v>
      </c>
      <c r="F80" s="696" t="s">
        <v>62</v>
      </c>
      <c r="G80" s="273" t="str">
        <f t="shared" si="5"/>
        <v/>
      </c>
      <c r="H80" s="274" t="s">
        <v>22</v>
      </c>
      <c r="I80" s="275"/>
      <c r="J80" s="275"/>
      <c r="K80" s="275"/>
      <c r="L80" s="276">
        <f>SUM(L78:L79)</f>
        <v>710.81999999999994</v>
      </c>
      <c r="N80" s="272" t="str">
        <f t="shared" ca="1" si="19"/>
        <v>Check stability of step from front door and secure chrome edging</v>
      </c>
      <c r="S80" s="272">
        <f t="shared" ca="1" si="20"/>
        <v>10</v>
      </c>
      <c r="T80" s="635">
        <f t="shared" ca="1" si="21"/>
        <v>10</v>
      </c>
      <c r="V80" s="625">
        <v>81</v>
      </c>
      <c r="W80" s="555" t="str">
        <f t="shared" si="22"/>
        <v>A81</v>
      </c>
      <c r="X80" s="555" t="str">
        <f t="shared" si="23"/>
        <v>D81</v>
      </c>
      <c r="Y80" s="555" t="str">
        <f t="shared" si="24"/>
        <v>E81</v>
      </c>
    </row>
    <row r="81" spans="1:27" ht="8" thickTop="1" thickBot="1">
      <c r="A81" s="668" t="str">
        <f>MAINTENANCE!B30</f>
        <v>Check stability of step from front door and secure chrome edging</v>
      </c>
      <c r="C81" s="619">
        <f>+MAINTENANCE!BT30</f>
        <v>0</v>
      </c>
      <c r="D81" s="438">
        <v>10</v>
      </c>
      <c r="E81" s="617">
        <f t="shared" si="12"/>
        <v>10</v>
      </c>
      <c r="F81" s="696" t="s">
        <v>56</v>
      </c>
      <c r="G81" s="273" t="str">
        <f t="shared" si="5"/>
        <v>&lt;</v>
      </c>
    </row>
    <row r="82" spans="1:27" ht="11" thickTop="1">
      <c r="A82" s="668" t="str">
        <f>MAINTENANCE!B31</f>
        <v>Check for any window leaks and repair as necessary</v>
      </c>
      <c r="C82" s="619">
        <f>+MAINTENANCE!BT31</f>
        <v>0</v>
      </c>
      <c r="D82" s="438" t="s">
        <v>232</v>
      </c>
      <c r="E82" s="617">
        <f t="shared" si="12"/>
        <v>0</v>
      </c>
      <c r="F82" s="696" t="s">
        <v>56</v>
      </c>
      <c r="G82" s="273" t="str">
        <f t="shared" si="5"/>
        <v/>
      </c>
      <c r="H82" s="422" t="str">
        <f>'OTHER COSTS'!A50</f>
        <v>SPECIAL PROJECTS</v>
      </c>
      <c r="I82" s="422"/>
      <c r="J82" s="422"/>
      <c r="K82" s="425"/>
      <c r="L82" s="569" t="s">
        <v>22</v>
      </c>
      <c r="N82" s="277" t="str">
        <f>CONCATENATE("Completed jobs significantly over budget (&gt;",$J$1*100,"%)")</f>
        <v>Completed jobs significantly over budget (&gt;25%)</v>
      </c>
      <c r="S82" s="577"/>
      <c r="T82" s="672" t="str">
        <f ca="1">CONCATENATE("Overspend= ",TEXT(SUM(T83:T86),"£0.00"))</f>
        <v>Overspend= -£283.40</v>
      </c>
      <c r="U82" s="635"/>
      <c r="V82" s="625"/>
    </row>
    <row r="83" spans="1:27" ht="11" thickBot="1">
      <c r="A83" s="668" t="str">
        <f>MAINTENANCE!B32</f>
        <v>Install reasonably accurate drinking water meter</v>
      </c>
      <c r="C83" s="619">
        <f>+MAINTENANCE!BT32</f>
        <v>130.08000000000001</v>
      </c>
      <c r="D83" s="438">
        <v>100</v>
      </c>
      <c r="E83" s="617">
        <f t="shared" si="12"/>
        <v>-30.080000000000013</v>
      </c>
      <c r="F83" s="696" t="s">
        <v>56</v>
      </c>
      <c r="G83" s="273" t="str">
        <f t="shared" si="5"/>
        <v>&gt;</v>
      </c>
      <c r="H83" s="426"/>
      <c r="I83" s="426"/>
      <c r="J83" s="426"/>
      <c r="K83" s="427"/>
      <c r="L83" s="620"/>
      <c r="N83" s="272" t="str">
        <f ca="1">IF(V83&gt;0,INDIRECT(W83),"")</f>
        <v>Compliance: Arrange survey BSS Survey</v>
      </c>
      <c r="S83" s="577">
        <f ca="1">IF(V83&gt;0,INDIRECT(X83),"")</f>
        <v>120</v>
      </c>
      <c r="T83" s="635">
        <f ca="1">IF(V83&gt;0,INDIRECT(Y83),"")</f>
        <v>-45</v>
      </c>
      <c r="U83" s="272"/>
      <c r="V83" s="625">
        <v>56</v>
      </c>
      <c r="W83" s="555" t="str">
        <f>CONCATENATE("A",V83)</f>
        <v>A56</v>
      </c>
      <c r="X83" s="555" t="str">
        <f>CONCATENATE("D",V83)</f>
        <v>D56</v>
      </c>
      <c r="Y83" s="555" t="str">
        <f>CONCATENATE("E",V83)</f>
        <v>E56</v>
      </c>
    </row>
    <row r="84" spans="1:27" ht="7.5" thickTop="1">
      <c r="A84" s="668" t="str">
        <f>MAINTENANCE!B33</f>
        <v xml:space="preserve">Replacement system drain water pump </v>
      </c>
      <c r="C84" s="619">
        <f>+MAINTENANCE!BT33</f>
        <v>23.85</v>
      </c>
      <c r="D84" s="438">
        <v>35</v>
      </c>
      <c r="E84" s="617">
        <f t="shared" si="12"/>
        <v>11.149999999999999</v>
      </c>
      <c r="F84" s="696" t="s">
        <v>56</v>
      </c>
      <c r="G84" s="273" t="str">
        <f t="shared" si="5"/>
        <v/>
      </c>
      <c r="H84" s="538" t="str">
        <f>+'OTHER COSTS'!A52</f>
        <v>Boiler Replacement</v>
      </c>
      <c r="I84" s="279"/>
      <c r="J84" s="279"/>
      <c r="K84" s="279"/>
      <c r="L84" s="628">
        <f>+'OTHER COSTS'!BT52</f>
        <v>3984.31</v>
      </c>
      <c r="N84" s="272" t="str">
        <f ca="1">IF(V84&gt;0,INDIRECT(W84),"")</f>
        <v xml:space="preserve">Refurbish rear loo so bowl holds water, we have all the parts. </v>
      </c>
      <c r="S84" s="577" t="str">
        <f ca="1">IF(V84&gt;0,INDIRECT(X84),"")</f>
        <v>NIL</v>
      </c>
      <c r="T84" s="635">
        <f ca="1">IF(V84&gt;0,INDIRECT(Y84),"")</f>
        <v>-117.27000000000001</v>
      </c>
      <c r="U84" s="272"/>
      <c r="V84" s="625">
        <v>58</v>
      </c>
      <c r="W84" s="555" t="str">
        <f>CONCATENATE("A",V84)</f>
        <v>A58</v>
      </c>
      <c r="X84" s="555" t="str">
        <f>CONCATENATE("D",V84)</f>
        <v>D58</v>
      </c>
      <c r="Y84" s="555" t="str">
        <f>CONCATENATE("E",V84)</f>
        <v>E58</v>
      </c>
    </row>
    <row r="85" spans="1:27">
      <c r="A85" s="668" t="str">
        <f>MAINTENANCE!B34</f>
        <v xml:space="preserve">Use reseating tool on taps in rear loo </v>
      </c>
      <c r="C85" s="619">
        <f>+MAINTENANCE!BT34</f>
        <v>0</v>
      </c>
      <c r="D85" s="438" t="s">
        <v>232</v>
      </c>
      <c r="E85" s="617">
        <f t="shared" ref="E85:E91" si="25">IF(ISTEXT(D85),0,D85)-C85</f>
        <v>0</v>
      </c>
      <c r="F85" s="696" t="s">
        <v>56</v>
      </c>
      <c r="G85" s="273" t="str">
        <f t="shared" si="5"/>
        <v/>
      </c>
      <c r="H85" s="273" t="str">
        <f>+'OTHER COSTS'!A53</f>
        <v>Boiler Replacement-Switches etc</v>
      </c>
      <c r="L85" s="629">
        <f>+'OTHER COSTS'!BT53</f>
        <v>22.99</v>
      </c>
      <c r="N85" s="272" t="str">
        <f ca="1">IF(V85&gt;0,INDIRECT(W85),"")</f>
        <v>Gas cooker - Install shelf if not replaced</v>
      </c>
      <c r="S85" s="577" t="str">
        <f ca="1">IF(V85&gt;0,INDIRECT(X85),"")</f>
        <v>NIL</v>
      </c>
      <c r="T85" s="635">
        <f ca="1">IF(V85&gt;0,INDIRECT(Y85),"")</f>
        <v>-65.97</v>
      </c>
      <c r="U85" s="272"/>
      <c r="V85" s="625">
        <v>70</v>
      </c>
      <c r="W85" s="555" t="str">
        <f>CONCATENATE("A",V85)</f>
        <v>A70</v>
      </c>
      <c r="X85" s="555" t="str">
        <f>CONCATENATE("D",V85)</f>
        <v>D70</v>
      </c>
      <c r="Y85" s="555" t="str">
        <f>CONCATENATE("E",V85)</f>
        <v>E70</v>
      </c>
    </row>
    <row r="86" spans="1:27">
      <c r="A86" s="668">
        <f>MAINTENANCE!B35</f>
        <v>0</v>
      </c>
      <c r="C86" s="619">
        <f>+MAINTENANCE!BT35</f>
        <v>0</v>
      </c>
      <c r="D86" s="438"/>
      <c r="E86" s="617">
        <f t="shared" si="25"/>
        <v>0</v>
      </c>
      <c r="F86" s="696"/>
      <c r="G86" s="273" t="str">
        <f t="shared" ref="G86:G91" si="26">IF(F86="X","*",IF(OR(F86="P",F86="N"),"",IF(ABS(E86/IF(OR(D86="NIL",D86=0),0.001,D86))&gt;$J$1,IF(OR(ABS(E86)&gt;20,C86=0),IF(E86&lt;0,"&gt;","&lt;"),""),"")))</f>
        <v/>
      </c>
      <c r="H86" s="273" t="str">
        <f>+'OTHER COSTS'!A54</f>
        <v>Boiler Replacement-Antifreeze</v>
      </c>
      <c r="L86" s="629">
        <f>+'OTHER COSTS'!BT54</f>
        <v>48</v>
      </c>
      <c r="N86" s="272" t="str">
        <f ca="1">IF(V86&gt;0,INDIRECT(W86),"")</f>
        <v>Touch up paint where necessary</v>
      </c>
      <c r="S86" s="577" t="str">
        <f ca="1">IF(V86&gt;0,INDIRECT(X86),"")</f>
        <v>NIL</v>
      </c>
      <c r="T86" s="635">
        <f ca="1">IF(V86&gt;0,INDIRECT(Y86),"")</f>
        <v>-55.16</v>
      </c>
      <c r="U86" s="272"/>
      <c r="V86" s="625">
        <v>78</v>
      </c>
      <c r="W86" s="555" t="str">
        <f>CONCATENATE("A",V86)</f>
        <v>A78</v>
      </c>
      <c r="X86" s="555" t="str">
        <f>CONCATENATE("D",V86)</f>
        <v>D78</v>
      </c>
      <c r="Y86" s="555" t="str">
        <f>CONCATENATE("E",V86)</f>
        <v>E78</v>
      </c>
    </row>
    <row r="87" spans="1:27">
      <c r="A87" s="668">
        <f>MAINTENANCE!B36</f>
        <v>0</v>
      </c>
      <c r="C87" s="619">
        <f>+MAINTENANCE!BT36</f>
        <v>0</v>
      </c>
      <c r="D87" s="438"/>
      <c r="E87" s="617">
        <f t="shared" si="25"/>
        <v>0</v>
      </c>
      <c r="F87" s="696"/>
      <c r="G87" s="273" t="str">
        <f t="shared" si="26"/>
        <v/>
      </c>
      <c r="H87" s="273" t="str">
        <f>+'OTHER COSTS'!A55</f>
        <v>Webasto Silencio Blower Box</v>
      </c>
      <c r="L87" s="629">
        <f>+'OTHER COSTS'!BT55</f>
        <v>144.43</v>
      </c>
      <c r="N87" s="272" t="str">
        <f t="shared" ref="N87:N88" ca="1" si="27">IF(V87&gt;0,INDIRECT(W87),"")</f>
        <v>Install reasonably accurate drinking water meter</v>
      </c>
      <c r="S87" s="577">
        <f t="shared" ref="S87:S88" ca="1" si="28">IF(V87&gt;0,INDIRECT(X87),"")</f>
        <v>100</v>
      </c>
      <c r="T87" s="635">
        <f t="shared" ref="T87:T88" ca="1" si="29">IF(V87&gt;0,INDIRECT(Y87),"")</f>
        <v>-30.080000000000013</v>
      </c>
      <c r="U87" s="272"/>
      <c r="V87" s="625">
        <v>83</v>
      </c>
      <c r="W87" s="555" t="str">
        <f t="shared" ref="W87:W88" si="30">CONCATENATE("A",V87)</f>
        <v>A83</v>
      </c>
      <c r="X87" s="555" t="str">
        <f t="shared" ref="X87:X88" si="31">CONCATENATE("D",V87)</f>
        <v>D83</v>
      </c>
      <c r="Y87" s="555" t="str">
        <f t="shared" ref="Y87:Y88" si="32">CONCATENATE("E",V87)</f>
        <v>E83</v>
      </c>
    </row>
    <row r="88" spans="1:27">
      <c r="A88" s="668">
        <f>MAINTENANCE!B37</f>
        <v>0</v>
      </c>
      <c r="C88" s="619">
        <f>+MAINTENANCE!BT37</f>
        <v>0</v>
      </c>
      <c r="D88" s="438"/>
      <c r="E88" s="617">
        <f t="shared" si="25"/>
        <v>0</v>
      </c>
      <c r="F88" s="696"/>
      <c r="G88" s="273" t="str">
        <f t="shared" si="26"/>
        <v/>
      </c>
      <c r="H88" s="273" t="str">
        <f>+'OTHER COSTS'!A56</f>
        <v>Blower Box Plumbing (and electrical parts)</v>
      </c>
      <c r="L88" s="629">
        <f>+'OTHER COSTS'!BT56</f>
        <v>117.55000000000001</v>
      </c>
      <c r="N88" s="272" t="str">
        <f t="shared" ca="1" si="27"/>
        <v/>
      </c>
      <c r="S88" s="272" t="str">
        <f t="shared" ca="1" si="28"/>
        <v/>
      </c>
      <c r="T88" s="635" t="str">
        <f t="shared" ca="1" si="29"/>
        <v/>
      </c>
      <c r="U88" s="272"/>
      <c r="V88" s="625"/>
      <c r="W88" s="555" t="str">
        <f t="shared" si="30"/>
        <v>A</v>
      </c>
      <c r="X88" s="555" t="str">
        <f t="shared" si="31"/>
        <v>D</v>
      </c>
      <c r="Y88" s="555" t="str">
        <f t="shared" si="32"/>
        <v>E</v>
      </c>
    </row>
    <row r="89" spans="1:27" ht="10">
      <c r="A89" s="668">
        <f>MAINTENANCE!B38</f>
        <v>0</v>
      </c>
      <c r="C89" s="619">
        <f>+MAINTENANCE!BT38</f>
        <v>0</v>
      </c>
      <c r="D89" s="438"/>
      <c r="E89" s="617">
        <f t="shared" si="25"/>
        <v>0</v>
      </c>
      <c r="F89" s="696"/>
      <c r="G89" s="273" t="str">
        <f t="shared" si="26"/>
        <v/>
      </c>
      <c r="H89" s="273" t="str">
        <f>+'OTHER COSTS'!A57</f>
        <v>Special Antifreeze, 5L Rock Oil KOOL Guard</v>
      </c>
      <c r="L89" s="629">
        <f>+'OTHER COSTS'!BT57</f>
        <v>27.99</v>
      </c>
      <c r="N89" s="624" t="s">
        <v>170</v>
      </c>
      <c r="T89" s="672" t="str">
        <f ca="1">CONCATENATE(IF(SUM(T90)-SUM(S90:S90)&gt;0,"Overspend","Residue"),"= ",TEXT(ABS(SUM(T90)-SUM(S90:S90)),"£0.00"))</f>
        <v>Residue= £0.00</v>
      </c>
      <c r="V89" s="625"/>
      <c r="W89" s="625"/>
      <c r="Z89" s="555"/>
    </row>
    <row r="90" spans="1:27" ht="10.5" thickBot="1">
      <c r="A90" s="668">
        <f>MAINTENANCE!B39</f>
        <v>0</v>
      </c>
      <c r="C90" s="619">
        <f>+MAINTENANCE!BT39</f>
        <v>0</v>
      </c>
      <c r="D90" s="438"/>
      <c r="E90" s="617">
        <f t="shared" si="25"/>
        <v>0</v>
      </c>
      <c r="F90" s="696"/>
      <c r="G90" s="273" t="str">
        <f t="shared" si="26"/>
        <v/>
      </c>
      <c r="H90" s="274" t="s">
        <v>22</v>
      </c>
      <c r="I90" s="275"/>
      <c r="J90" s="275"/>
      <c r="K90" s="275"/>
      <c r="L90" s="276">
        <f>SUM(L84:L88)</f>
        <v>4317.28</v>
      </c>
      <c r="N90" s="272" t="str">
        <f ca="1">IF(V90&gt;0,INDIRECT(W90),"")</f>
        <v/>
      </c>
      <c r="S90" s="272" t="str">
        <f ca="1">IF(V90&gt;0,INDIRECT(X90),"")</f>
        <v/>
      </c>
      <c r="T90" s="626" t="str">
        <f>IF(V90&gt;0,"Provision","")</f>
        <v/>
      </c>
      <c r="V90" s="625"/>
      <c r="W90" s="625" t="str">
        <f>CONCATENATE("A",V90)</f>
        <v>A</v>
      </c>
      <c r="X90" s="555" t="str">
        <f>CONCATENATE("E",V90)</f>
        <v>E</v>
      </c>
      <c r="Y90" s="555" t="str">
        <f>CONCATENATE("E",V90)</f>
        <v>E</v>
      </c>
    </row>
    <row r="91" spans="1:27" ht="11" thickTop="1">
      <c r="A91" s="668">
        <f>MAINTENANCE!B40</f>
        <v>0</v>
      </c>
      <c r="C91" s="619">
        <f>+MAINTENANCE!BT40</f>
        <v>0</v>
      </c>
      <c r="D91" s="438"/>
      <c r="E91" s="617">
        <f t="shared" si="25"/>
        <v>0</v>
      </c>
      <c r="F91" s="696"/>
      <c r="G91" s="273" t="str">
        <f t="shared" si="26"/>
        <v/>
      </c>
      <c r="H91" s="422" t="s">
        <v>155</v>
      </c>
      <c r="I91" s="422"/>
      <c r="J91" s="422"/>
      <c r="K91" s="425"/>
      <c r="L91" s="569" t="s">
        <v>22</v>
      </c>
      <c r="N91" s="281" t="s">
        <v>156</v>
      </c>
      <c r="P91" s="282"/>
      <c r="T91" s="672" t="str">
        <f ca="1">CONCATENATE("Cost= ",TEXT(SUM(T92:T100),"£0.00"))</f>
        <v>Cost= £919.98</v>
      </c>
      <c r="V91" s="625"/>
      <c r="W91" s="625"/>
      <c r="Z91" s="555"/>
      <c r="AA91" s="555"/>
    </row>
    <row r="92" spans="1:27" ht="11" thickBot="1">
      <c r="A92" s="274" t="s">
        <v>22</v>
      </c>
      <c r="B92" s="275"/>
      <c r="C92" s="657">
        <f>SUM(C55:C73)</f>
        <v>366.49</v>
      </c>
      <c r="D92" s="656">
        <f>SUM(D55:D91)</f>
        <v>4155</v>
      </c>
      <c r="E92" s="633">
        <f>SUM(E55:E91)</f>
        <v>64.419999999999987</v>
      </c>
      <c r="F92" s="659"/>
      <c r="H92" s="426"/>
      <c r="I92" s="426"/>
      <c r="J92" s="426"/>
      <c r="K92" s="427"/>
      <c r="L92" s="630"/>
      <c r="N92" s="732" t="str">
        <f ca="1">CONCATENATE(IF(V92&gt;0,INDIRECT(X92),""),IF(W92&gt;0," &amp; ",""),IF(W92&gt;0,INDIRECT(Z92),""))</f>
        <v>New Gas Regualtor as advised after BSS</v>
      </c>
      <c r="O92" s="733"/>
      <c r="P92" s="734"/>
      <c r="Q92" s="734"/>
      <c r="R92" s="734"/>
      <c r="S92" s="734"/>
      <c r="T92" s="735">
        <f ca="1">IF(V92&gt;0,INDIRECT(Y92),0)+IF(W92&gt;0,INDIRECT(AA91),0)</f>
        <v>86.5</v>
      </c>
      <c r="U92" s="631"/>
      <c r="V92" s="625">
        <v>59</v>
      </c>
      <c r="W92" s="625"/>
      <c r="X92" s="555" t="str">
        <f>CONCATENATE("H",V92)</f>
        <v>H59</v>
      </c>
      <c r="Y92" s="555" t="str">
        <f>CONCATENATE("L",V92)</f>
        <v>L59</v>
      </c>
      <c r="Z92" s="555" t="str">
        <f>CONCATENATE("H",W92)</f>
        <v>H</v>
      </c>
      <c r="AA92" s="555" t="str">
        <f>CONCATENATE("L",W93)</f>
        <v>L</v>
      </c>
    </row>
    <row r="93" spans="1:27" ht="11" thickTop="1">
      <c r="A93" s="553"/>
      <c r="B93" s="553"/>
      <c r="C93" s="634"/>
      <c r="D93" s="577"/>
      <c r="E93" s="635">
        <f t="shared" si="3"/>
        <v>0</v>
      </c>
      <c r="F93" s="553"/>
      <c r="G93" s="272" t="str">
        <f>IF(F93="X","*",IF(OR(F93="P",F93="N"),"",IF(ABS(E93/(D93+0.001))&gt;$J$1,IF(OR(ABS(E93)&gt;20,C93=0),IF(E93&lt;0,"&gt;","&lt;"),""),"")))</f>
        <v/>
      </c>
      <c r="H93" s="278" t="str">
        <f>+'OTHER COSTS'!A62</f>
        <v>Olympic Door Key</v>
      </c>
      <c r="I93" s="279"/>
      <c r="J93" s="279"/>
      <c r="K93" s="279"/>
      <c r="L93" s="280">
        <f>+'OTHER COSTS'!BT62</f>
        <v>5.99</v>
      </c>
      <c r="N93" s="736" t="str">
        <f ca="1">CONCATENATE(IF(V93&gt;0,INDIRECT(X93),""),IF(W93&gt;0," &amp; ",""),IF(W93&gt;0,INDIRECT(Z93),""))</f>
        <v>Signage replacement</v>
      </c>
      <c r="O93" s="733"/>
      <c r="P93" s="734"/>
      <c r="Q93" s="734"/>
      <c r="R93" s="734"/>
      <c r="S93" s="734"/>
      <c r="T93" s="735">
        <f ca="1">IF(V93&gt;0,INDIRECT(Y93),0)+IF(W93&gt;0,INDIRECT(AA92),0)</f>
        <v>9.9</v>
      </c>
      <c r="V93" s="625">
        <v>61</v>
      </c>
      <c r="W93" s="625"/>
      <c r="X93" s="555" t="str">
        <f>CONCATENATE("H",V93)</f>
        <v>H61</v>
      </c>
      <c r="Y93" s="555" t="str">
        <f>CONCATENATE("L",V93)</f>
        <v>L61</v>
      </c>
      <c r="Z93" s="555" t="str">
        <f>CONCATENATE("H",W93)</f>
        <v>H</v>
      </c>
      <c r="AA93" s="555" t="str">
        <f>CONCATENATE("L",W94)</f>
        <v>L</v>
      </c>
    </row>
    <row r="94" spans="1:27" ht="10.5">
      <c r="H94" s="273" t="str">
        <f>+'OTHER COSTS'!A63</f>
        <v>Stick blender+cafetiere+wine glasses</v>
      </c>
      <c r="L94" s="629">
        <f>+'OTHER COSTS'!BT63</f>
        <v>59.510000000000005</v>
      </c>
      <c r="N94" s="736" t="str">
        <f ca="1">CONCATENATE(IF(V94&gt;0,INDIRECT(X94),""),IF(W94&gt;0," &amp; ",""),IF(W94&gt;0,INDIRECT(Z94),""))</f>
        <v>Engineer to fit Gas Regulator</v>
      </c>
      <c r="O94" s="733"/>
      <c r="P94" s="734"/>
      <c r="Q94" s="734"/>
      <c r="R94" s="734"/>
      <c r="S94" s="734"/>
      <c r="T94" s="735">
        <f ca="1">IF(V94&gt;0,INDIRECT(Y94),0)+IF(W94&gt;0,INDIRECT(AA93),0)</f>
        <v>160</v>
      </c>
      <c r="V94" s="625">
        <v>62</v>
      </c>
      <c r="X94" s="555" t="str">
        <f>CONCATENATE("H",V94)</f>
        <v>H62</v>
      </c>
      <c r="Y94" s="555" t="str">
        <f>CONCATENATE("L",V94)</f>
        <v>L62</v>
      </c>
      <c r="Z94" s="555" t="str">
        <f>CONCATENATE("H",W94)</f>
        <v>H</v>
      </c>
      <c r="AA94" s="555" t="str">
        <f>CONCATENATE("L",W95)</f>
        <v>L</v>
      </c>
    </row>
    <row r="95" spans="1:27" ht="10.5">
      <c r="A95" s="632"/>
      <c r="B95" s="553"/>
      <c r="C95" s="634"/>
      <c r="D95" s="577"/>
      <c r="E95" s="635"/>
      <c r="F95" s="658"/>
      <c r="G95" s="272" t="str">
        <f>IF(F95="X","*",IF(OR(F95="P",F95="N"),"",IF(ABS(E95/(D95+0.001))&gt;$J$1,IF(ABS(E95)&gt;20,IF(E95&lt;0,"&gt;","&lt;"),""),"")))</f>
        <v/>
      </c>
      <c r="H95" s="273" t="str">
        <f>+'OTHER COSTS'!A64</f>
        <v>De-ionised water 5L</v>
      </c>
      <c r="L95" s="629">
        <f>+'OTHER COSTS'!BT64</f>
        <v>3.9</v>
      </c>
      <c r="N95" s="736" t="str">
        <f t="shared" ref="N95:N96" ca="1" si="33">CONCATENATE(IF(V95&gt;0,INDIRECT(X95),""),IF(W95&gt;0," &amp; ",""),IF(W95&gt;0,INDIRECT(Z95),""))</f>
        <v>New Lifebuoy and Line</v>
      </c>
      <c r="O95" s="733"/>
      <c r="P95" s="734"/>
      <c r="Q95" s="734"/>
      <c r="R95" s="734"/>
      <c r="S95" s="734"/>
      <c r="T95" s="735">
        <f t="shared" ref="T95:T96" ca="1" si="34">IF(V95&gt;0,INDIRECT(Y95),0)+IF(W95&gt;0,INDIRECT(AA94),0)</f>
        <v>58.32</v>
      </c>
      <c r="V95" s="625">
        <v>63</v>
      </c>
      <c r="X95" s="555" t="str">
        <f t="shared" ref="X95:X96" si="35">CONCATENATE("H",V95)</f>
        <v>H63</v>
      </c>
      <c r="Y95" s="555" t="str">
        <f t="shared" ref="Y95:Y96" si="36">CONCATENATE("L",V95)</f>
        <v>L63</v>
      </c>
      <c r="Z95" s="555" t="str">
        <f t="shared" ref="Z95:Z96" si="37">CONCATENATE("H",W95)</f>
        <v>H</v>
      </c>
      <c r="AA95" s="555" t="str">
        <f>CONCATENATE("L",W96)</f>
        <v>L</v>
      </c>
    </row>
    <row r="96" spans="1:27" ht="10.5">
      <c r="A96" s="666"/>
      <c r="D96" s="577"/>
      <c r="E96" s="635"/>
      <c r="G96" s="272" t="str">
        <f>IF(F96="X","*",IF(OR(F96="P",F96="N"),"",IF(ABS(E96/(D96+0.001))&gt;$J$1,IF(ABS(E96)&gt;20,IF(E96&lt;0,"&gt;","&lt;"),""),"")))</f>
        <v/>
      </c>
      <c r="H96" s="273" t="str">
        <f>+'OTHER COSTS'!A65</f>
        <v>Tap connectors for hose x 3</v>
      </c>
      <c r="L96" s="629">
        <f>+'OTHER COSTS'!BT65</f>
        <v>1.77</v>
      </c>
      <c r="N96" s="743" t="str">
        <f t="shared" ca="1" si="33"/>
        <v>Starter battery from Halfords Bolton</v>
      </c>
      <c r="O96" s="745"/>
      <c r="P96" s="746"/>
      <c r="Q96" s="746"/>
      <c r="R96" s="746"/>
      <c r="S96" s="746"/>
      <c r="T96" s="742">
        <f t="shared" ca="1" si="34"/>
        <v>54.99</v>
      </c>
      <c r="V96" s="625">
        <v>65</v>
      </c>
      <c r="X96" s="555" t="str">
        <f t="shared" si="35"/>
        <v>H65</v>
      </c>
      <c r="Y96" s="555" t="str">
        <f t="shared" si="36"/>
        <v>L65</v>
      </c>
      <c r="Z96" s="555" t="str">
        <f t="shared" si="37"/>
        <v>H</v>
      </c>
      <c r="AA96" s="555" t="str">
        <f>CONCATENATE("L",W98)</f>
        <v>L</v>
      </c>
    </row>
    <row r="97" spans="1:27" ht="11" thickBot="1">
      <c r="A97" s="667"/>
      <c r="C97" s="634"/>
      <c r="D97" s="634"/>
      <c r="E97" s="635"/>
      <c r="F97" s="553"/>
      <c r="G97" s="272" t="str">
        <f>IF(F97="X","*",IF(OR(F97="P",F97="N"),"",IF(ABS(E97/(D97+0.001))&gt;$J$1,IF(ABS(E97)&gt;20,IF(E97&lt;0,"&gt;","&lt;"),""),"")))</f>
        <v/>
      </c>
      <c r="H97" s="274" t="s">
        <v>22</v>
      </c>
      <c r="I97" s="275"/>
      <c r="J97" s="275"/>
      <c r="K97" s="275"/>
      <c r="L97" s="276">
        <f>SUM(L93:L96)</f>
        <v>71.17</v>
      </c>
      <c r="N97" s="743" t="str">
        <f t="shared" ref="N97:N98" ca="1" si="38">CONCATENATE(IF(V97&gt;0,INDIRECT(X97),""),IF(W97&gt;0," &amp; ",""),IF(W97&gt;0,INDIRECT(Z97),""))</f>
        <v>Alternator test</v>
      </c>
      <c r="O97" s="745"/>
      <c r="P97" s="746"/>
      <c r="Q97" s="746"/>
      <c r="R97" s="746"/>
      <c r="S97" s="746"/>
      <c r="T97" s="742">
        <f t="shared" ref="T97:T98" ca="1" si="39">IF(V97&gt;0,INDIRECT(Y97),0)+IF(W97&gt;0,INDIRECT(AA96),0)</f>
        <v>14</v>
      </c>
      <c r="V97" s="625">
        <v>66</v>
      </c>
      <c r="X97" s="555" t="str">
        <f t="shared" ref="X97" si="40">CONCATENATE("H",V97)</f>
        <v>H66</v>
      </c>
      <c r="Y97" s="555" t="str">
        <f t="shared" ref="Y97" si="41">CONCATENATE("L",V97)</f>
        <v>L66</v>
      </c>
      <c r="Z97" s="555" t="str">
        <f t="shared" ref="Z97" si="42">CONCATENATE("H",W97)</f>
        <v>H</v>
      </c>
      <c r="AA97" s="555" t="str">
        <f>CONCATENATE("L",W102)</f>
        <v>L</v>
      </c>
    </row>
    <row r="98" spans="1:27" ht="7.5" thickTop="1">
      <c r="A98" s="553"/>
      <c r="B98" s="553"/>
      <c r="C98" s="634"/>
      <c r="D98" s="577"/>
      <c r="E98" s="635"/>
      <c r="F98" s="553"/>
      <c r="G98" s="272" t="str">
        <f>IF(F98="X","*",IF(OR(F98="P",F98="N"),"",IF(ABS(E98/(D98+0.001))&gt;$J$1,IF(ABS(E98)&gt;20,IF(E98&lt;0,"&gt;","&lt;"),""),"")))</f>
        <v/>
      </c>
      <c r="N98" s="743" t="str">
        <f t="shared" ca="1" si="38"/>
        <v>Postage to return Sterling Unit</v>
      </c>
      <c r="O98" s="743"/>
      <c r="P98" s="743"/>
      <c r="Q98" s="743"/>
      <c r="R98" s="743"/>
      <c r="S98" s="743"/>
      <c r="T98" s="742">
        <f t="shared" ca="1" si="39"/>
        <v>6.95</v>
      </c>
      <c r="V98" s="625">
        <v>68</v>
      </c>
      <c r="X98" s="555" t="str">
        <f>CONCATENATE("H",V98)</f>
        <v>H68</v>
      </c>
      <c r="Y98" s="555" t="str">
        <f>CONCATENATE("L",V98)</f>
        <v>L68</v>
      </c>
      <c r="Z98" s="555" t="str">
        <f>CONCATENATE("H",W98)</f>
        <v>H</v>
      </c>
      <c r="AA98" s="555" t="str">
        <f>CONCATENATE("L",W103)</f>
        <v>L</v>
      </c>
    </row>
    <row r="99" spans="1:27">
      <c r="C99" s="635"/>
      <c r="D99" s="635"/>
      <c r="E99" s="635"/>
      <c r="F99" s="553"/>
      <c r="H99" s="272">
        <f>+'OTHER COSTS'!A67</f>
        <v>0</v>
      </c>
      <c r="L99" s="272">
        <f>+'OTHER COSTS'!BT67</f>
        <v>0</v>
      </c>
      <c r="N99" s="743" t="str">
        <f t="shared" ref="N99:N100" ca="1" si="43">CONCATENATE(IF(V99&gt;0,INDIRECT(X99),""),IF(W99&gt;0," &amp; ",""),IF(W99&gt;0,INDIRECT(Z99),""))</f>
        <v>Sterling Unit repair+new shunt &amp; alternator temp. sensor</v>
      </c>
      <c r="O99" s="743"/>
      <c r="P99" s="743"/>
      <c r="Q99" s="743"/>
      <c r="R99" s="743"/>
      <c r="S99" s="743"/>
      <c r="T99" s="742">
        <f t="shared" ref="T99:T100" ca="1" si="44">IF(V99&gt;0,INDIRECT(Y99),0)+IF(W99&gt;0,INDIRECT(AA98),0)</f>
        <v>93.04</v>
      </c>
      <c r="V99" s="625">
        <v>69</v>
      </c>
      <c r="X99" s="555" t="str">
        <f>CONCATENATE("H",V99)</f>
        <v>H69</v>
      </c>
      <c r="Y99" s="555" t="str">
        <f>CONCATENATE("L",V99)</f>
        <v>L69</v>
      </c>
      <c r="Z99" s="555" t="str">
        <f>CONCATENATE("H",W99)</f>
        <v>H</v>
      </c>
      <c r="AA99" s="555" t="str">
        <f>CONCATENATE("L",W104)</f>
        <v>L</v>
      </c>
    </row>
    <row r="100" spans="1:27">
      <c r="G100" s="272" t="str">
        <f>IF(F101="X","*",IF(OR(F101="P",F101="N"),"",IF(ABS(E101/(D101+0.001))&gt;$J$1,IF(ABS(E101)&gt;20,IF(E101&lt;0,"&gt;","&lt;"),""),"")))</f>
        <v/>
      </c>
      <c r="N100" s="743" t="str">
        <f t="shared" ca="1" si="43"/>
        <v>Purchase of new Alternator (incls. delivery) SEE PROVISION</v>
      </c>
      <c r="O100" s="743"/>
      <c r="P100" s="743"/>
      <c r="Q100" s="743"/>
      <c r="R100" s="743"/>
      <c r="S100" s="743"/>
      <c r="T100" s="742">
        <f t="shared" ca="1" si="44"/>
        <v>436.28</v>
      </c>
      <c r="V100" s="625">
        <v>70</v>
      </c>
      <c r="X100" s="555" t="str">
        <f>CONCATENATE("H",V100)</f>
        <v>H70</v>
      </c>
      <c r="Y100" s="555" t="str">
        <f>CONCATENATE("L",V100)</f>
        <v>L70</v>
      </c>
      <c r="Z100" s="555" t="str">
        <f>CONCATENATE("H",W100)</f>
        <v>H</v>
      </c>
      <c r="AA100" s="555" t="str">
        <f>CONCATENATE("L",W105)</f>
        <v>L</v>
      </c>
    </row>
    <row r="101" spans="1:27">
      <c r="A101" s="634"/>
      <c r="C101" s="634"/>
      <c r="D101" s="577"/>
      <c r="E101" s="635"/>
    </row>
    <row r="102" spans="1:27" ht="10.5">
      <c r="N102" s="281" t="s">
        <v>188</v>
      </c>
      <c r="P102" s="282"/>
      <c r="T102" s="672" t="str">
        <f ca="1">CONCATENATE("Cost= ",TEXT(SUM(T103:T105),"£0.00"))</f>
        <v>Cost= £0.00</v>
      </c>
      <c r="V102" s="625"/>
      <c r="W102" s="625"/>
      <c r="Z102" s="555"/>
      <c r="AA102" s="555"/>
    </row>
    <row r="103" spans="1:27" ht="10.5">
      <c r="N103" s="553" t="str">
        <f ca="1">CONCATENATE(IF(V103&gt;0,INDIRECT(X103),""),IF(W103&gt;0," &amp; ",""),IF(W103&gt;0,INDIRECT(Z103),""))</f>
        <v/>
      </c>
      <c r="O103" s="422"/>
      <c r="P103" s="514"/>
      <c r="Q103" s="514"/>
      <c r="R103" s="514"/>
      <c r="S103" s="514"/>
      <c r="T103" s="638">
        <f ca="1">IF(V103&gt;0,INDIRECT(Y103),0)+IF(W103&gt;0,INDIRECT(AA102),0)</f>
        <v>0</v>
      </c>
      <c r="U103" s="631"/>
      <c r="V103" s="625"/>
      <c r="W103" s="625"/>
      <c r="X103" s="555" t="str">
        <f>CONCATENATE("H",V103)</f>
        <v>H</v>
      </c>
      <c r="Y103" s="555" t="str">
        <f>CONCATENATE("L",V103)</f>
        <v>L</v>
      </c>
      <c r="Z103" s="555" t="str">
        <f>CONCATENATE("H",W103)</f>
        <v>H</v>
      </c>
      <c r="AA103" s="555" t="str">
        <f>CONCATENATE("L",W104)</f>
        <v>L</v>
      </c>
    </row>
    <row r="104" spans="1:27" ht="10.5">
      <c r="N104" s="272" t="str">
        <f ca="1">CONCATENATE(IF(V104&gt;0,INDIRECT(X104),""),IF(W104&gt;0," &amp; ",""),IF(W104&gt;0,INDIRECT(Z104),""))</f>
        <v/>
      </c>
      <c r="O104" s="422"/>
      <c r="P104" s="514"/>
      <c r="Q104" s="514"/>
      <c r="R104" s="514"/>
      <c r="S104" s="514"/>
      <c r="T104" s="638">
        <f ca="1">IF(V104&gt;0,INDIRECT(Y104),0)+IF(W104&gt;0,INDIRECT(AA103),0)</f>
        <v>0</v>
      </c>
      <c r="V104" s="625"/>
      <c r="W104" s="625"/>
      <c r="X104" s="555" t="str">
        <f>CONCATENATE("H",V104)</f>
        <v>H</v>
      </c>
      <c r="Y104" s="555" t="str">
        <f>CONCATENATE("L",V104)</f>
        <v>L</v>
      </c>
      <c r="Z104" s="555" t="str">
        <f>CONCATENATE("H",W104)</f>
        <v>H</v>
      </c>
      <c r="AA104" s="555" t="str">
        <f>CONCATENATE("L",W105)</f>
        <v>L</v>
      </c>
    </row>
    <row r="105" spans="1:27" ht="10.5">
      <c r="O105" s="422"/>
      <c r="P105" s="514"/>
      <c r="Q105" s="514"/>
      <c r="R105" s="514"/>
      <c r="S105" s="514"/>
      <c r="T105" s="638">
        <f ca="1">IF(V105&gt;0,INDIRECT(Y105),0)+IF(W105&gt;0,INDIRECT(AA104),0)</f>
        <v>0</v>
      </c>
      <c r="X105" s="555" t="str">
        <f>CONCATENATE("H",V105)</f>
        <v>H</v>
      </c>
      <c r="Y105" s="555" t="str">
        <f>CONCATENATE("L",V105)</f>
        <v>L</v>
      </c>
      <c r="Z105" s="555" t="str">
        <f>CONCATENATE("H",W105)</f>
        <v>H</v>
      </c>
      <c r="AA105" s="555" t="e">
        <f>CONCATENATE("L",#REF!)</f>
        <v>#REF!</v>
      </c>
    </row>
  </sheetData>
  <mergeCells count="6">
    <mergeCell ref="B69:C69"/>
    <mergeCell ref="A54:B54"/>
    <mergeCell ref="A20:A22"/>
    <mergeCell ref="D34:I36"/>
    <mergeCell ref="R22:T22"/>
    <mergeCell ref="N35:T36"/>
  </mergeCells>
  <phoneticPr fontId="9" type="noConversion"/>
  <conditionalFormatting sqref="A93 A55:A91">
    <cfRule type="expression" dxfId="5" priority="6">
      <formula>$D55="removed"</formula>
    </cfRule>
  </conditionalFormatting>
  <conditionalFormatting sqref="A75:A76">
    <cfRule type="expression" dxfId="4" priority="5">
      <formula>$D75="removed"</formula>
    </cfRule>
  </conditionalFormatting>
  <conditionalFormatting sqref="A75:A76">
    <cfRule type="expression" dxfId="3" priority="4">
      <formula>$D75="removed"</formula>
    </cfRule>
  </conditionalFormatting>
  <conditionalFormatting sqref="O37:O52">
    <cfRule type="cellIs" dxfId="2" priority="2" operator="equal">
      <formula>"..#."</formula>
    </cfRule>
    <cfRule type="cellIs" dxfId="1" priority="3" operator="equal">
      <formula>"..#"</formula>
    </cfRule>
  </conditionalFormatting>
  <conditionalFormatting sqref="O38:O52">
    <cfRule type="cellIs" dxfId="0" priority="1" operator="equal">
      <formula>".#."</formula>
    </cfRule>
  </conditionalFormatting>
  <printOptions horizontalCentered="1"/>
  <pageMargins left="0" right="0" top="3.937007874015748E-2" bottom="0" header="0" footer="0"/>
  <pageSetup paperSize="9" scale="94" fitToHeight="2" orientation="landscape" verticalDpi="4" r:id="rId1"/>
  <headerFooter alignWithMargins="0"/>
  <rowBreaks count="1" manualBreakCount="1">
    <brk id="52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K152"/>
  <sheetViews>
    <sheetView showZeros="0" tabSelected="1" workbookViewId="0">
      <pane xSplit="1" topLeftCell="B1" activePane="topRight" state="frozen"/>
      <selection activeCell="R6" sqref="R6"/>
      <selection pane="topRight" activeCell="M27" sqref="M27"/>
    </sheetView>
  </sheetViews>
  <sheetFormatPr defaultColWidth="16" defaultRowHeight="7"/>
  <cols>
    <col min="1" max="1" width="53" style="1" customWidth="1"/>
    <col min="2" max="19" width="11" style="1" customWidth="1"/>
    <col min="20" max="20" width="2" style="1" customWidth="1"/>
    <col min="21" max="22" width="11" style="1" customWidth="1"/>
    <col min="23" max="31" width="16" style="1" customWidth="1"/>
    <col min="32" max="16384" width="16" style="1"/>
  </cols>
  <sheetData>
    <row r="1" spans="1:213" ht="35">
      <c r="A1" s="812" t="s">
        <v>140</v>
      </c>
      <c r="I1" s="190" t="s">
        <v>92</v>
      </c>
      <c r="T1" s="641" t="str">
        <f>Summary!$T$2</f>
        <v>21 February 2023</v>
      </c>
      <c r="U1" s="14"/>
    </row>
    <row r="2" spans="1:213" ht="18.75" customHeight="1">
      <c r="A2" s="813"/>
      <c r="C2" s="2"/>
      <c r="I2" s="44"/>
      <c r="K2" s="190"/>
      <c r="L2" s="190"/>
      <c r="U2" s="81"/>
    </row>
    <row r="3" spans="1:213" ht="18.75" customHeight="1" thickBot="1">
      <c r="A3" s="814"/>
      <c r="B3" s="378"/>
      <c r="I3" s="10"/>
      <c r="K3" s="190"/>
      <c r="L3" s="190"/>
      <c r="U3" s="81"/>
    </row>
    <row r="4" spans="1:213" ht="11.5" thickTop="1" thickBot="1">
      <c r="A4" s="63" t="s">
        <v>149</v>
      </c>
      <c r="D4" s="12" t="s">
        <v>148</v>
      </c>
      <c r="E4" s="421" t="s">
        <v>151</v>
      </c>
      <c r="F4" s="420"/>
      <c r="H4" s="420"/>
      <c r="I4" s="420"/>
      <c r="J4" s="420"/>
      <c r="K4" s="420"/>
      <c r="L4" s="420"/>
      <c r="T4" s="196"/>
      <c r="V4" s="196"/>
    </row>
    <row r="5" spans="1:213" s="3" customFormat="1" ht="7.5" thickTop="1">
      <c r="A5" s="79" t="s">
        <v>68</v>
      </c>
      <c r="B5" s="13" t="s">
        <v>141</v>
      </c>
      <c r="C5" s="13" t="s">
        <v>143</v>
      </c>
      <c r="D5" s="199" t="s">
        <v>142</v>
      </c>
      <c r="E5" s="454" t="s">
        <v>233</v>
      </c>
      <c r="F5" s="449" t="s">
        <v>246</v>
      </c>
      <c r="G5" s="449" t="s">
        <v>236</v>
      </c>
      <c r="H5" s="449" t="s">
        <v>247</v>
      </c>
      <c r="I5" s="449" t="s">
        <v>243</v>
      </c>
      <c r="J5" s="449" t="s">
        <v>253</v>
      </c>
      <c r="K5" s="449" t="s">
        <v>257</v>
      </c>
      <c r="L5" s="449" t="s">
        <v>236</v>
      </c>
      <c r="M5" s="449" t="s">
        <v>236</v>
      </c>
      <c r="N5" s="449" t="s">
        <v>236</v>
      </c>
      <c r="O5" s="449"/>
      <c r="P5" s="449"/>
      <c r="Q5" s="449"/>
      <c r="R5" s="449"/>
      <c r="S5" s="449"/>
      <c r="T5" s="14"/>
      <c r="U5" s="1"/>
      <c r="V5" s="1"/>
      <c r="W5" s="14"/>
      <c r="X5" s="1"/>
      <c r="Y5" s="14"/>
      <c r="Z5" s="14"/>
      <c r="AA5" s="14"/>
      <c r="AB5" s="14"/>
      <c r="AC5" s="14"/>
      <c r="AD5" s="14"/>
      <c r="AE5" s="14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</row>
    <row r="6" spans="1:213" ht="7.5" thickBot="1">
      <c r="A6" s="7" t="s">
        <v>69</v>
      </c>
      <c r="B6" s="655">
        <f>DATE(Summary!$B$1,1,30)</f>
        <v>44591</v>
      </c>
      <c r="C6" s="293"/>
      <c r="D6" s="293">
        <v>44854</v>
      </c>
      <c r="E6" s="351">
        <v>44673</v>
      </c>
      <c r="F6" s="293">
        <v>44677</v>
      </c>
      <c r="G6" s="293">
        <v>2</v>
      </c>
      <c r="H6" s="293">
        <v>44786</v>
      </c>
      <c r="I6" s="293">
        <v>44784</v>
      </c>
      <c r="J6" s="293">
        <v>44967</v>
      </c>
      <c r="K6" s="293"/>
      <c r="L6" s="293">
        <v>44896</v>
      </c>
      <c r="M6" s="293">
        <v>45283</v>
      </c>
      <c r="N6" s="293">
        <v>45234</v>
      </c>
      <c r="O6" s="293"/>
      <c r="P6" s="293"/>
      <c r="Q6" s="293"/>
      <c r="R6" s="293"/>
      <c r="S6" s="293"/>
      <c r="T6" s="81"/>
    </row>
    <row r="7" spans="1:213" s="179" customFormat="1" ht="7.5" thickTop="1">
      <c r="A7" s="186" t="s">
        <v>12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81"/>
    </row>
    <row r="8" spans="1:213" s="187" customFormat="1" ht="7.5" thickBot="1">
      <c r="A8" s="188" t="s">
        <v>13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</row>
    <row r="9" spans="1:213" s="244" customFormat="1" ht="7.5" hidden="1" thickTop="1">
      <c r="A9" s="242" t="s">
        <v>113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</row>
    <row r="10" spans="1:213" s="244" customFormat="1" hidden="1">
      <c r="A10" s="236" t="s">
        <v>123</v>
      </c>
      <c r="B10" s="286">
        <f>IF(B7=0,0,1)</f>
        <v>0</v>
      </c>
      <c r="C10" s="416">
        <f t="shared" ref="C10:S10" si="0">IF(C7=0,0,1)</f>
        <v>0</v>
      </c>
      <c r="D10" s="416">
        <f t="shared" si="0"/>
        <v>0</v>
      </c>
      <c r="E10" s="416">
        <f t="shared" si="0"/>
        <v>0</v>
      </c>
      <c r="F10" s="416">
        <f t="shared" si="0"/>
        <v>0</v>
      </c>
      <c r="G10" s="416">
        <f t="shared" si="0"/>
        <v>0</v>
      </c>
      <c r="H10" s="416">
        <f t="shared" si="0"/>
        <v>0</v>
      </c>
      <c r="I10" s="416">
        <f t="shared" si="0"/>
        <v>0</v>
      </c>
      <c r="J10" s="416">
        <f t="shared" si="0"/>
        <v>0</v>
      </c>
      <c r="K10" s="416">
        <f t="shared" si="0"/>
        <v>0</v>
      </c>
      <c r="L10" s="416">
        <f t="shared" si="0"/>
        <v>0</v>
      </c>
      <c r="M10" s="416">
        <f t="shared" si="0"/>
        <v>0</v>
      </c>
      <c r="N10" s="416">
        <f t="shared" si="0"/>
        <v>0</v>
      </c>
      <c r="O10" s="416">
        <f t="shared" si="0"/>
        <v>0</v>
      </c>
      <c r="P10" s="416">
        <f t="shared" si="0"/>
        <v>0</v>
      </c>
      <c r="Q10" s="416">
        <f t="shared" si="0"/>
        <v>0</v>
      </c>
      <c r="R10" s="416">
        <f t="shared" si="0"/>
        <v>0</v>
      </c>
      <c r="S10" s="416">
        <f t="shared" si="0"/>
        <v>0</v>
      </c>
    </row>
    <row r="11" spans="1:213" s="234" customFormat="1" hidden="1">
      <c r="A11" s="236" t="s">
        <v>124</v>
      </c>
      <c r="B11" s="286">
        <f>IF(B7&gt;0,1,0)</f>
        <v>0</v>
      </c>
      <c r="C11" s="416">
        <f t="shared" ref="C11:S11" si="1">IF(C7&gt;0,IF(C9=B9,B11,B11+1),B11)</f>
        <v>0</v>
      </c>
      <c r="D11" s="416">
        <f t="shared" si="1"/>
        <v>0</v>
      </c>
      <c r="E11" s="416">
        <f t="shared" si="1"/>
        <v>0</v>
      </c>
      <c r="F11" s="416">
        <f t="shared" si="1"/>
        <v>0</v>
      </c>
      <c r="G11" s="416">
        <f t="shared" si="1"/>
        <v>0</v>
      </c>
      <c r="H11" s="416">
        <f t="shared" si="1"/>
        <v>0</v>
      </c>
      <c r="I11" s="416">
        <f t="shared" si="1"/>
        <v>0</v>
      </c>
      <c r="J11" s="416">
        <f t="shared" si="1"/>
        <v>0</v>
      </c>
      <c r="K11" s="416">
        <f t="shared" si="1"/>
        <v>0</v>
      </c>
      <c r="L11" s="416">
        <f t="shared" si="1"/>
        <v>0</v>
      </c>
      <c r="M11" s="416">
        <f t="shared" si="1"/>
        <v>0</v>
      </c>
      <c r="N11" s="416">
        <f t="shared" si="1"/>
        <v>0</v>
      </c>
      <c r="O11" s="416">
        <f t="shared" si="1"/>
        <v>0</v>
      </c>
      <c r="P11" s="416">
        <f t="shared" si="1"/>
        <v>0</v>
      </c>
      <c r="Q11" s="416">
        <f t="shared" si="1"/>
        <v>0</v>
      </c>
      <c r="R11" s="416">
        <f t="shared" si="1"/>
        <v>0</v>
      </c>
      <c r="S11" s="416">
        <f t="shared" si="1"/>
        <v>0</v>
      </c>
    </row>
    <row r="12" spans="1:213" s="234" customFormat="1" ht="7.5" hidden="1" thickBot="1">
      <c r="A12" s="236" t="s">
        <v>112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</row>
    <row r="13" spans="1:213" ht="11.5" thickTop="1" thickBot="1">
      <c r="A13" s="63" t="s">
        <v>14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  <row r="14" spans="1:213" s="49" customFormat="1" ht="7.5" thickTop="1">
      <c r="A14" s="48" t="s">
        <v>23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213" s="44" customFormat="1">
      <c r="A15" s="51" t="s">
        <v>24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spans="1:213" s="103" customFormat="1" ht="7.5" thickBot="1">
      <c r="A16" s="101" t="s">
        <v>27</v>
      </c>
      <c r="B16" s="417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s="44" customFormat="1" ht="11.5" thickTop="1" thickBot="1">
      <c r="A17" s="104" t="s">
        <v>70</v>
      </c>
      <c r="B17" s="418">
        <f>SUM(B14:B16)</f>
        <v>0</v>
      </c>
      <c r="C17" s="418">
        <f>SUM(C14:C16)</f>
        <v>0</v>
      </c>
      <c r="D17" s="418">
        <f>SUM(D14:D16)</f>
        <v>0</v>
      </c>
      <c r="E17" s="418">
        <f>SUM(E14:E16)</f>
        <v>0</v>
      </c>
      <c r="F17" s="418">
        <f t="shared" ref="F17:S17" si="2">SUM(F14:F16)</f>
        <v>0</v>
      </c>
      <c r="G17" s="418">
        <f t="shared" si="2"/>
        <v>0</v>
      </c>
      <c r="H17" s="418">
        <f t="shared" si="2"/>
        <v>0</v>
      </c>
      <c r="I17" s="418">
        <f t="shared" si="2"/>
        <v>0</v>
      </c>
      <c r="J17" s="418">
        <f>SUM(J14:J16)</f>
        <v>0</v>
      </c>
      <c r="K17" s="418">
        <f>SUM(K14:K16)</f>
        <v>0</v>
      </c>
      <c r="L17" s="418">
        <f>SUM(L14:L16)</f>
        <v>0</v>
      </c>
      <c r="M17" s="418">
        <f>SUM(M14:M16)</f>
        <v>0</v>
      </c>
      <c r="N17" s="418">
        <f>SUM(N14:N16)</f>
        <v>0</v>
      </c>
      <c r="O17" s="418">
        <f t="shared" si="2"/>
        <v>0</v>
      </c>
      <c r="P17" s="418">
        <f t="shared" si="2"/>
        <v>0</v>
      </c>
      <c r="Q17" s="418">
        <f t="shared" si="2"/>
        <v>0</v>
      </c>
      <c r="R17" s="418">
        <f t="shared" si="2"/>
        <v>0</v>
      </c>
      <c r="S17" s="418">
        <f t="shared" si="2"/>
        <v>0</v>
      </c>
    </row>
    <row r="18" spans="1:31" s="44" customFormat="1" ht="11.5" thickTop="1" thickBot="1">
      <c r="A18" s="11" t="s">
        <v>72</v>
      </c>
      <c r="B18" s="259" t="str">
        <f t="shared" ref="B18:S18" ca="1" si="3">IF(OR(LEFT(B5,2)="un",LEFT(B5,1)="(",B17&lt;&gt;0,B31&lt;&gt;0, B5="",B6&gt;NOW(),B6=""),"","Acct Due")</f>
        <v/>
      </c>
      <c r="C18" s="259" t="str">
        <f t="shared" ca="1" si="3"/>
        <v/>
      </c>
      <c r="D18" s="259" t="str">
        <f t="shared" ca="1" si="3"/>
        <v/>
      </c>
      <c r="E18" s="259" t="str">
        <f t="shared" ca="1" si="3"/>
        <v/>
      </c>
      <c r="F18" s="259" t="str">
        <f t="shared" ca="1" si="3"/>
        <v/>
      </c>
      <c r="G18" s="259" t="str">
        <f t="shared" ca="1" si="3"/>
        <v/>
      </c>
      <c r="H18" s="259" t="str">
        <f t="shared" ca="1" si="3"/>
        <v/>
      </c>
      <c r="I18" s="259" t="str">
        <f t="shared" ca="1" si="3"/>
        <v/>
      </c>
      <c r="J18" s="259" t="str">
        <f t="shared" ca="1" si="3"/>
        <v/>
      </c>
      <c r="K18" s="259" t="str">
        <f t="shared" ca="1" si="3"/>
        <v/>
      </c>
      <c r="L18" s="259" t="str">
        <f t="shared" ca="1" si="3"/>
        <v/>
      </c>
      <c r="M18" s="259" t="str">
        <f t="shared" ca="1" si="3"/>
        <v/>
      </c>
      <c r="N18" s="259" t="str">
        <f t="shared" ca="1" si="3"/>
        <v/>
      </c>
      <c r="O18" s="259" t="str">
        <f t="shared" ca="1" si="3"/>
        <v/>
      </c>
      <c r="P18" s="259" t="str">
        <f t="shared" ca="1" si="3"/>
        <v/>
      </c>
      <c r="Q18" s="259" t="str">
        <f t="shared" ca="1" si="3"/>
        <v/>
      </c>
      <c r="R18" s="259" t="str">
        <f t="shared" ca="1" si="3"/>
        <v/>
      </c>
      <c r="S18" s="259" t="str">
        <f t="shared" ca="1" si="3"/>
        <v/>
      </c>
    </row>
    <row r="19" spans="1:31" s="49" customFormat="1" ht="7.5" thickTop="1">
      <c r="A19" s="48" t="s">
        <v>37</v>
      </c>
      <c r="B19" s="301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s="44" customFormat="1">
      <c r="A20" s="51" t="s">
        <v>38</v>
      </c>
      <c r="B20" s="304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>
        <v>73.12</v>
      </c>
      <c r="O20" s="303"/>
      <c r="P20" s="303"/>
      <c r="Q20" s="303"/>
      <c r="R20" s="303"/>
      <c r="S20" s="303"/>
    </row>
    <row r="21" spans="1:31" s="44" customFormat="1">
      <c r="A21" s="51" t="s">
        <v>39</v>
      </c>
      <c r="B21" s="304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</row>
    <row r="22" spans="1:31" s="92" customFormat="1">
      <c r="A22" s="53" t="s">
        <v>41</v>
      </c>
      <c r="B22" s="90">
        <f>+'OTHER COSTS'!B82</f>
        <v>0</v>
      </c>
      <c r="C22" s="90">
        <f>+'OTHER COSTS'!C82</f>
        <v>0</v>
      </c>
      <c r="D22" s="90">
        <f>+'OTHER COSTS'!D82</f>
        <v>0</v>
      </c>
      <c r="E22" s="90">
        <f>+'OTHER COSTS'!E82</f>
        <v>0</v>
      </c>
      <c r="F22" s="90">
        <f>+'OTHER COSTS'!F82</f>
        <v>0</v>
      </c>
      <c r="G22" s="90">
        <f>+'OTHER COSTS'!G82</f>
        <v>5.99</v>
      </c>
      <c r="H22" s="90">
        <f>+'OTHER COSTS'!H82</f>
        <v>0</v>
      </c>
      <c r="I22" s="90">
        <f>+'OTHER COSTS'!I82</f>
        <v>0</v>
      </c>
      <c r="J22" s="90">
        <f>+'OTHER COSTS'!J82</f>
        <v>59.510000000000005</v>
      </c>
      <c r="K22" s="90">
        <f>+'OTHER COSTS'!K82</f>
        <v>0</v>
      </c>
      <c r="L22" s="90">
        <f>+'OTHER COSTS'!L82</f>
        <v>1.77</v>
      </c>
      <c r="M22" s="90">
        <f>+'OTHER COSTS'!M82</f>
        <v>0</v>
      </c>
      <c r="N22" s="90">
        <f>+'OTHER COSTS'!N82</f>
        <v>0</v>
      </c>
      <c r="O22" s="90">
        <f>+'OTHER COSTS'!O82</f>
        <v>0</v>
      </c>
      <c r="P22" s="90">
        <f>+'OTHER COSTS'!P82</f>
        <v>0</v>
      </c>
      <c r="Q22" s="90">
        <f>+'OTHER COSTS'!Q82</f>
        <v>0</v>
      </c>
      <c r="R22" s="90">
        <f>+'OTHER COSTS'!R82</f>
        <v>0</v>
      </c>
      <c r="S22" s="90">
        <f>+'OTHER COSTS'!S82</f>
        <v>0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</row>
    <row r="23" spans="1:31" s="46" customFormat="1">
      <c r="A23" s="83" t="s">
        <v>42</v>
      </c>
      <c r="B23" s="43">
        <f>SUM(B19:B22)</f>
        <v>0</v>
      </c>
      <c r="C23" s="43">
        <f>SUM(C19:C22)</f>
        <v>0</v>
      </c>
      <c r="D23" s="43">
        <f>SUM(D19:D22)</f>
        <v>0</v>
      </c>
      <c r="E23" s="43">
        <f>SUM(E19:E22)</f>
        <v>0</v>
      </c>
      <c r="F23" s="43">
        <f t="shared" ref="F23:S23" si="4">SUM(F19:F22)</f>
        <v>0</v>
      </c>
      <c r="G23" s="43">
        <f t="shared" si="4"/>
        <v>5.99</v>
      </c>
      <c r="H23" s="43">
        <f t="shared" si="4"/>
        <v>0</v>
      </c>
      <c r="I23" s="43">
        <f t="shared" si="4"/>
        <v>0</v>
      </c>
      <c r="J23" s="43">
        <f>SUM(J19:J22)</f>
        <v>59.510000000000005</v>
      </c>
      <c r="K23" s="43">
        <f>SUM(K19:K22)</f>
        <v>0</v>
      </c>
      <c r="L23" s="43">
        <f>SUM(L19:L22)</f>
        <v>1.77</v>
      </c>
      <c r="M23" s="43">
        <f>SUM(M19:M22)</f>
        <v>0</v>
      </c>
      <c r="N23" s="43">
        <f>SUM(N19:N22)</f>
        <v>73.12</v>
      </c>
      <c r="O23" s="43">
        <f t="shared" si="4"/>
        <v>0</v>
      </c>
      <c r="P23" s="43">
        <f t="shared" si="4"/>
        <v>0</v>
      </c>
      <c r="Q23" s="43">
        <f t="shared" si="4"/>
        <v>0</v>
      </c>
      <c r="R23" s="43">
        <f t="shared" si="4"/>
        <v>0</v>
      </c>
      <c r="S23" s="43">
        <f t="shared" si="4"/>
        <v>0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s="86" customFormat="1" ht="7.5" thickBot="1">
      <c r="A24" s="84" t="s">
        <v>83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s="44" customFormat="1" ht="11.5" thickTop="1" thickBot="1">
      <c r="A25" s="85" t="s">
        <v>73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</row>
    <row r="26" spans="1:31" s="49" customFormat="1" ht="7.5" thickTop="1">
      <c r="A26" s="48" t="s">
        <v>47</v>
      </c>
      <c r="B26" s="77">
        <f>MAINTENANCE!C56</f>
        <v>0</v>
      </c>
      <c r="C26" s="77">
        <f>MAINTENANCE!D56</f>
        <v>0</v>
      </c>
      <c r="D26" s="77">
        <f>MAINTENANCE!E56</f>
        <v>0</v>
      </c>
      <c r="E26" s="77">
        <f>MAINTENANCE!F56</f>
        <v>0</v>
      </c>
      <c r="F26" s="77">
        <f>MAINTENANCE!G56</f>
        <v>18.25</v>
      </c>
      <c r="G26" s="77">
        <f>MAINTENANCE!H56</f>
        <v>153.93</v>
      </c>
      <c r="H26" s="77">
        <f>MAINTENANCE!I56</f>
        <v>55.16</v>
      </c>
      <c r="I26" s="77">
        <f>MAINTENANCE!J56</f>
        <v>113.37</v>
      </c>
      <c r="J26" s="77">
        <f>MAINTENANCE!K56</f>
        <v>0</v>
      </c>
      <c r="K26" s="77">
        <f>MAINTENANCE!L56</f>
        <v>0</v>
      </c>
      <c r="L26" s="77">
        <f>MAINTENANCE!M56</f>
        <v>0</v>
      </c>
      <c r="M26" s="77">
        <f>MAINTENANCE!N56</f>
        <v>0</v>
      </c>
      <c r="N26" s="77">
        <f>MAINTENANCE!O56</f>
        <v>0</v>
      </c>
      <c r="O26" s="77">
        <f>MAINTENANCE!P56</f>
        <v>0</v>
      </c>
      <c r="P26" s="77">
        <f>MAINTENANCE!Q56</f>
        <v>0</v>
      </c>
      <c r="Q26" s="77">
        <f>MAINTENANCE!R56</f>
        <v>0</v>
      </c>
      <c r="R26" s="77">
        <f>MAINTENANCE!S56</f>
        <v>0</v>
      </c>
      <c r="S26" s="77">
        <f>MAINTENANCE!T56</f>
        <v>0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s="44" customFormat="1">
      <c r="A27" s="51" t="s">
        <v>115</v>
      </c>
      <c r="B27" s="67">
        <f>'OTHER COSTS'!B41+'OTHER COSTS'!B48</f>
        <v>0</v>
      </c>
      <c r="C27" s="67">
        <f>'OTHER COSTS'!C41+'OTHER COSTS'!C48</f>
        <v>0</v>
      </c>
      <c r="D27" s="67">
        <f>'OTHER COSTS'!D41+'OTHER COSTS'!D48</f>
        <v>0</v>
      </c>
      <c r="E27" s="67">
        <f>'OTHER COSTS'!E41+'OTHER COSTS'!E48</f>
        <v>0</v>
      </c>
      <c r="F27" s="67">
        <f>'OTHER COSTS'!F41+'OTHER COSTS'!F48</f>
        <v>0</v>
      </c>
      <c r="G27" s="67">
        <f>'OTHER COSTS'!G41+'OTHER COSTS'!G48</f>
        <v>19.98</v>
      </c>
      <c r="H27" s="67">
        <f>'OTHER COSTS'!H41+'OTHER COSTS'!H48</f>
        <v>0</v>
      </c>
      <c r="I27" s="67">
        <f>'OTHER COSTS'!I41+'OTHER COSTS'!I48</f>
        <v>0</v>
      </c>
      <c r="J27" s="67">
        <f>'OTHER COSTS'!J41+'OTHER COSTS'!J48</f>
        <v>0</v>
      </c>
      <c r="K27" s="67">
        <f>'OTHER COSTS'!K41+'OTHER COSTS'!K48</f>
        <v>290.99</v>
      </c>
      <c r="L27" s="67">
        <f>'OTHER COSTS'!L41+'OTHER COSTS'!L48</f>
        <v>99.990000000000009</v>
      </c>
      <c r="M27" s="67">
        <f>'OTHER COSTS'!M41+'OTHER COSTS'!M48</f>
        <v>436.28</v>
      </c>
      <c r="N27" s="67">
        <f>'OTHER COSTS'!N41+'OTHER COSTS'!N48</f>
        <v>0</v>
      </c>
      <c r="O27" s="67">
        <f>'OTHER COSTS'!O41+'OTHER COSTS'!O48</f>
        <v>0</v>
      </c>
      <c r="P27" s="67">
        <f>'OTHER COSTS'!P41+'OTHER COSTS'!P48</f>
        <v>0</v>
      </c>
      <c r="Q27" s="67">
        <f>'OTHER COSTS'!Q41+'OTHER COSTS'!Q48</f>
        <v>0</v>
      </c>
      <c r="R27" s="67">
        <f>'OTHER COSTS'!R41+'OTHER COSTS'!R48</f>
        <v>0</v>
      </c>
      <c r="S27" s="67">
        <f>'OTHER COSTS'!S41+'OTHER COSTS'!S48</f>
        <v>0</v>
      </c>
    </row>
    <row r="28" spans="1:31" s="44" customFormat="1">
      <c r="A28" s="694" t="s">
        <v>288</v>
      </c>
      <c r="B28" s="67">
        <f>'OTHER COSTS'!B59</f>
        <v>0</v>
      </c>
      <c r="C28" s="67">
        <f>'OTHER COSTS'!C59</f>
        <v>0</v>
      </c>
      <c r="D28" s="67">
        <f>'OTHER COSTS'!D59</f>
        <v>0</v>
      </c>
      <c r="E28" s="67">
        <f>'OTHER COSTS'!E59</f>
        <v>3984.31</v>
      </c>
      <c r="F28" s="67">
        <f>'OTHER COSTS'!F59</f>
        <v>0</v>
      </c>
      <c r="G28" s="67">
        <f>'OTHER COSTS'!G59</f>
        <v>0</v>
      </c>
      <c r="H28" s="67">
        <f>'OTHER COSTS'!H59</f>
        <v>0</v>
      </c>
      <c r="I28" s="67">
        <f>'OTHER COSTS'!I59</f>
        <v>0</v>
      </c>
      <c r="J28" s="67">
        <f>'OTHER COSTS'!J59</f>
        <v>0</v>
      </c>
      <c r="K28" s="67">
        <f>'OTHER COSTS'!K59</f>
        <v>0</v>
      </c>
      <c r="L28" s="67">
        <f>'OTHER COSTS'!L59</f>
        <v>289.97000000000003</v>
      </c>
      <c r="M28" s="67">
        <f>'OTHER COSTS'!M59</f>
        <v>0</v>
      </c>
      <c r="N28" s="67">
        <f>'OTHER COSTS'!N59</f>
        <v>0</v>
      </c>
      <c r="O28" s="67">
        <f>'OTHER COSTS'!O59</f>
        <v>0</v>
      </c>
      <c r="P28" s="67">
        <f>'OTHER COSTS'!P59</f>
        <v>0</v>
      </c>
      <c r="Q28" s="67">
        <f>'OTHER COSTS'!Q59</f>
        <v>0</v>
      </c>
      <c r="R28" s="67">
        <f>'OTHER COSTS'!R59</f>
        <v>0</v>
      </c>
      <c r="S28" s="67">
        <f>'OTHER COSTS'!S59</f>
        <v>0</v>
      </c>
    </row>
    <row r="29" spans="1:31" s="92" customFormat="1" ht="9" customHeight="1">
      <c r="A29" s="53" t="s">
        <v>150</v>
      </c>
      <c r="B29" s="313">
        <v>287.91000000000003</v>
      </c>
      <c r="C29" s="313">
        <v>1217.75</v>
      </c>
      <c r="D29" s="313">
        <v>846.37</v>
      </c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s="46" customFormat="1" ht="7.5" thickBot="1">
      <c r="A30" s="83" t="s">
        <v>74</v>
      </c>
      <c r="B30" s="47">
        <f>SUM(B26:B29)</f>
        <v>287.91000000000003</v>
      </c>
      <c r="C30" s="47">
        <f>SUM(C26:C29)</f>
        <v>1217.75</v>
      </c>
      <c r="D30" s="47">
        <f>SUM(D26:D29)</f>
        <v>846.37</v>
      </c>
      <c r="E30" s="47">
        <f>SUM(E26:E29)</f>
        <v>3984.31</v>
      </c>
      <c r="F30" s="47">
        <f t="shared" ref="F30:S30" si="5">SUM(F26:F29)</f>
        <v>18.25</v>
      </c>
      <c r="G30" s="47">
        <f t="shared" si="5"/>
        <v>173.91</v>
      </c>
      <c r="H30" s="47">
        <f t="shared" si="5"/>
        <v>55.16</v>
      </c>
      <c r="I30" s="47">
        <f t="shared" si="5"/>
        <v>113.37</v>
      </c>
      <c r="J30" s="47">
        <f>SUM(J26:J29)</f>
        <v>0</v>
      </c>
      <c r="K30" s="47">
        <f>SUM(K26:K29)</f>
        <v>290.99</v>
      </c>
      <c r="L30" s="47">
        <f>SUM(L26:L29)</f>
        <v>389.96000000000004</v>
      </c>
      <c r="M30" s="47">
        <f>SUM(M26:M29)</f>
        <v>436.28</v>
      </c>
      <c r="N30" s="47">
        <f>SUM(N26:N29)</f>
        <v>0</v>
      </c>
      <c r="O30" s="47">
        <f t="shared" si="5"/>
        <v>0</v>
      </c>
      <c r="P30" s="47">
        <f t="shared" si="5"/>
        <v>0</v>
      </c>
      <c r="Q30" s="47">
        <f t="shared" si="5"/>
        <v>0</v>
      </c>
      <c r="R30" s="47">
        <f t="shared" si="5"/>
        <v>0</v>
      </c>
      <c r="S30" s="43">
        <f t="shared" si="5"/>
        <v>0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</row>
    <row r="31" spans="1:31" s="74" customFormat="1" ht="11.5" thickTop="1" thickBot="1">
      <c r="A31" s="257" t="s">
        <v>53</v>
      </c>
      <c r="B31" s="50">
        <f>SUM(B24:B29)+B23</f>
        <v>287.91000000000003</v>
      </c>
      <c r="C31" s="50">
        <f>SUM(C24:C29)+C23</f>
        <v>1217.75</v>
      </c>
      <c r="D31" s="50">
        <f>SUM(D24:D29)+D23</f>
        <v>846.37</v>
      </c>
      <c r="E31" s="50">
        <f>SUM(E24:E29)+E23</f>
        <v>3984.31</v>
      </c>
      <c r="F31" s="50">
        <f t="shared" ref="F31:S31" si="6">SUM(F24:F29)+F23</f>
        <v>18.25</v>
      </c>
      <c r="G31" s="50">
        <f t="shared" si="6"/>
        <v>179.9</v>
      </c>
      <c r="H31" s="50">
        <f t="shared" si="6"/>
        <v>55.16</v>
      </c>
      <c r="I31" s="50">
        <f t="shared" si="6"/>
        <v>113.37</v>
      </c>
      <c r="J31" s="50">
        <f>SUM(J24:J29)+J23</f>
        <v>59.510000000000005</v>
      </c>
      <c r="K31" s="50">
        <f>SUM(K24:K29)+K23</f>
        <v>290.99</v>
      </c>
      <c r="L31" s="50">
        <f>SUM(L24:L29)+L23</f>
        <v>391.73</v>
      </c>
      <c r="M31" s="50">
        <f>SUM(M24:M29)+M23</f>
        <v>436.28</v>
      </c>
      <c r="N31" s="50">
        <f>SUM(N24:N29)+N23</f>
        <v>73.12</v>
      </c>
      <c r="O31" s="50">
        <f t="shared" si="6"/>
        <v>0</v>
      </c>
      <c r="P31" s="50">
        <f t="shared" si="6"/>
        <v>0</v>
      </c>
      <c r="Q31" s="50">
        <f t="shared" si="6"/>
        <v>0</v>
      </c>
      <c r="R31" s="50">
        <f t="shared" si="6"/>
        <v>0</v>
      </c>
      <c r="S31" s="77">
        <f t="shared" si="6"/>
        <v>0</v>
      </c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s="44" customFormat="1" ht="8" thickTop="1" thickBot="1">
      <c r="A32" s="261" t="s">
        <v>121</v>
      </c>
      <c r="B32" s="264">
        <f>B17-B31</f>
        <v>-287.91000000000003</v>
      </c>
      <c r="C32" s="264">
        <f>C17-C31</f>
        <v>-1217.75</v>
      </c>
      <c r="D32" s="264">
        <f>D17-D31</f>
        <v>-846.37</v>
      </c>
      <c r="E32" s="264">
        <f>E17-E31</f>
        <v>-3984.31</v>
      </c>
      <c r="F32" s="264">
        <f t="shared" ref="F32:S32" si="7">F17-F31</f>
        <v>-18.25</v>
      </c>
      <c r="G32" s="264">
        <f t="shared" si="7"/>
        <v>-179.9</v>
      </c>
      <c r="H32" s="264">
        <f t="shared" si="7"/>
        <v>-55.16</v>
      </c>
      <c r="I32" s="264">
        <f t="shared" si="7"/>
        <v>-113.37</v>
      </c>
      <c r="J32" s="264">
        <f>J17-J31</f>
        <v>-59.510000000000005</v>
      </c>
      <c r="K32" s="264">
        <f>K17-K31</f>
        <v>-290.99</v>
      </c>
      <c r="L32" s="264">
        <f>L17-L31</f>
        <v>-391.73</v>
      </c>
      <c r="M32" s="264">
        <f>M17-M31</f>
        <v>-436.28</v>
      </c>
      <c r="N32" s="264">
        <f>N17-N31</f>
        <v>-73.12</v>
      </c>
      <c r="O32" s="264">
        <f t="shared" si="7"/>
        <v>0</v>
      </c>
      <c r="P32" s="264">
        <f t="shared" si="7"/>
        <v>0</v>
      </c>
      <c r="Q32" s="264">
        <f t="shared" si="7"/>
        <v>0</v>
      </c>
      <c r="R32" s="264">
        <f t="shared" si="7"/>
        <v>0</v>
      </c>
      <c r="S32" s="262">
        <f t="shared" si="7"/>
        <v>0</v>
      </c>
    </row>
    <row r="33" spans="1:199" s="195" customFormat="1" ht="8" thickTop="1" thickBot="1">
      <c r="A33" s="87" t="s">
        <v>120</v>
      </c>
      <c r="B33" s="314" t="s">
        <v>183</v>
      </c>
      <c r="C33" s="314" t="s">
        <v>183</v>
      </c>
      <c r="D33" s="314" t="s">
        <v>287</v>
      </c>
      <c r="E33" s="314" t="s">
        <v>234</v>
      </c>
      <c r="F33" s="314" t="s">
        <v>234</v>
      </c>
      <c r="G33" s="314" t="s">
        <v>234</v>
      </c>
      <c r="H33" s="314" t="s">
        <v>234</v>
      </c>
      <c r="I33" s="314" t="s">
        <v>183</v>
      </c>
      <c r="J33" s="314" t="s">
        <v>287</v>
      </c>
      <c r="K33" s="314" t="s">
        <v>104</v>
      </c>
      <c r="L33" s="314" t="str">
        <f t="shared" ref="L33:S33" si="8">IF(L32=0,"","post bal.")</f>
        <v>post bal.</v>
      </c>
      <c r="M33" s="314" t="str">
        <f t="shared" si="8"/>
        <v>post bal.</v>
      </c>
      <c r="N33" s="314" t="str">
        <f t="shared" si="8"/>
        <v>post bal.</v>
      </c>
      <c r="O33" s="314" t="str">
        <f t="shared" si="8"/>
        <v/>
      </c>
      <c r="P33" s="314" t="str">
        <f t="shared" si="8"/>
        <v/>
      </c>
      <c r="Q33" s="314" t="str">
        <f t="shared" si="8"/>
        <v/>
      </c>
      <c r="R33" s="314" t="str">
        <f t="shared" si="8"/>
        <v/>
      </c>
      <c r="S33" s="314" t="str">
        <f t="shared" si="8"/>
        <v/>
      </c>
      <c r="T33" s="179"/>
      <c r="U33" s="179"/>
    </row>
    <row r="34" spans="1:199" s="233" customFormat="1" ht="7.5" hidden="1" thickTop="1">
      <c r="A34" s="231" t="s">
        <v>106</v>
      </c>
      <c r="B34" s="233">
        <f t="shared" ref="B34:K34" si="9">IF(B33="post bal.",B32,0)</f>
        <v>0</v>
      </c>
      <c r="C34" s="233">
        <f t="shared" si="9"/>
        <v>0</v>
      </c>
      <c r="D34" s="233">
        <f t="shared" si="9"/>
        <v>0</v>
      </c>
      <c r="E34" s="233">
        <f t="shared" si="9"/>
        <v>0</v>
      </c>
      <c r="F34" s="233">
        <f t="shared" si="9"/>
        <v>0</v>
      </c>
      <c r="G34" s="233">
        <f t="shared" si="9"/>
        <v>0</v>
      </c>
      <c r="H34" s="233">
        <f t="shared" si="9"/>
        <v>0</v>
      </c>
      <c r="I34" s="233">
        <f t="shared" si="9"/>
        <v>0</v>
      </c>
      <c r="J34" s="233">
        <f t="shared" si="9"/>
        <v>0</v>
      </c>
      <c r="K34" s="233">
        <f t="shared" si="9"/>
        <v>0</v>
      </c>
      <c r="L34" s="233">
        <f t="shared" ref="L34:S34" si="10">IF(L33="post bal.",L32,0)</f>
        <v>-391.73</v>
      </c>
      <c r="M34" s="233">
        <f t="shared" si="10"/>
        <v>-436.28</v>
      </c>
      <c r="N34" s="233">
        <f t="shared" si="10"/>
        <v>-73.12</v>
      </c>
      <c r="O34" s="233">
        <f t="shared" si="10"/>
        <v>0</v>
      </c>
      <c r="P34" s="233">
        <f t="shared" si="10"/>
        <v>0</v>
      </c>
      <c r="Q34" s="233">
        <f t="shared" si="10"/>
        <v>0</v>
      </c>
      <c r="R34" s="233">
        <f t="shared" si="10"/>
        <v>0</v>
      </c>
      <c r="S34" s="233">
        <f t="shared" si="10"/>
        <v>0</v>
      </c>
      <c r="T34" s="233">
        <f>IF(T33="post bal.",T31,0)</f>
        <v>0</v>
      </c>
    </row>
    <row r="35" spans="1:199" s="232" customFormat="1" hidden="1">
      <c r="A35" s="231" t="s">
        <v>107</v>
      </c>
      <c r="B35" s="232">
        <f t="shared" ref="B35:S35" si="11">IF(B5="Insurance",B29,0)</f>
        <v>287.91000000000003</v>
      </c>
      <c r="C35" s="232">
        <f t="shared" si="11"/>
        <v>0</v>
      </c>
      <c r="D35" s="232">
        <f t="shared" si="11"/>
        <v>0</v>
      </c>
      <c r="E35" s="232">
        <f t="shared" si="11"/>
        <v>0</v>
      </c>
      <c r="F35" s="232">
        <f t="shared" si="11"/>
        <v>0</v>
      </c>
      <c r="G35" s="232">
        <f t="shared" si="11"/>
        <v>0</v>
      </c>
      <c r="H35" s="232">
        <f t="shared" si="11"/>
        <v>0</v>
      </c>
      <c r="I35" s="232">
        <f t="shared" si="11"/>
        <v>0</v>
      </c>
      <c r="J35" s="232">
        <f t="shared" si="11"/>
        <v>0</v>
      </c>
      <c r="K35" s="232">
        <f t="shared" si="11"/>
        <v>0</v>
      </c>
      <c r="L35" s="232">
        <f t="shared" si="11"/>
        <v>0</v>
      </c>
      <c r="M35" s="232">
        <f t="shared" si="11"/>
        <v>0</v>
      </c>
      <c r="N35" s="232">
        <f t="shared" si="11"/>
        <v>0</v>
      </c>
      <c r="O35" s="232">
        <f t="shared" si="11"/>
        <v>0</v>
      </c>
      <c r="P35" s="232">
        <f t="shared" si="11"/>
        <v>0</v>
      </c>
      <c r="Q35" s="232">
        <f t="shared" si="11"/>
        <v>0</v>
      </c>
      <c r="R35" s="232">
        <f t="shared" si="11"/>
        <v>0</v>
      </c>
      <c r="S35" s="232">
        <f t="shared" si="11"/>
        <v>0</v>
      </c>
    </row>
    <row r="36" spans="1:199" s="232" customFormat="1" hidden="1">
      <c r="A36" s="231" t="s">
        <v>108</v>
      </c>
      <c r="B36" s="232">
        <f t="shared" ref="B36:S36" si="12">IF(B5="Mooring",B30,0)</f>
        <v>0</v>
      </c>
      <c r="C36" s="232">
        <f t="shared" si="12"/>
        <v>0</v>
      </c>
      <c r="D36" s="232">
        <f t="shared" si="12"/>
        <v>846.37</v>
      </c>
      <c r="E36" s="232">
        <f t="shared" si="12"/>
        <v>0</v>
      </c>
      <c r="F36" s="232">
        <f t="shared" si="12"/>
        <v>0</v>
      </c>
      <c r="G36" s="232">
        <f t="shared" si="12"/>
        <v>0</v>
      </c>
      <c r="H36" s="232">
        <f t="shared" si="12"/>
        <v>0</v>
      </c>
      <c r="I36" s="232">
        <f t="shared" si="12"/>
        <v>0</v>
      </c>
      <c r="J36" s="232">
        <f t="shared" si="12"/>
        <v>0</v>
      </c>
      <c r="K36" s="232">
        <f t="shared" si="12"/>
        <v>0</v>
      </c>
      <c r="L36" s="232">
        <f t="shared" si="12"/>
        <v>0</v>
      </c>
      <c r="M36" s="232">
        <f t="shared" si="12"/>
        <v>0</v>
      </c>
      <c r="N36" s="232">
        <f t="shared" si="12"/>
        <v>0</v>
      </c>
      <c r="O36" s="232">
        <f t="shared" si="12"/>
        <v>0</v>
      </c>
      <c r="P36" s="232">
        <f t="shared" si="12"/>
        <v>0</v>
      </c>
      <c r="Q36" s="232">
        <f t="shared" si="12"/>
        <v>0</v>
      </c>
      <c r="R36" s="232">
        <f t="shared" si="12"/>
        <v>0</v>
      </c>
      <c r="S36" s="232">
        <f t="shared" si="12"/>
        <v>0</v>
      </c>
    </row>
    <row r="37" spans="1:199" s="232" customFormat="1" hidden="1">
      <c r="A37" s="231" t="s">
        <v>109</v>
      </c>
      <c r="B37" s="232">
        <f t="shared" ref="B37:S37" si="13">IF(B5="Licence",B31,0)</f>
        <v>0</v>
      </c>
      <c r="C37" s="232">
        <f t="shared" si="13"/>
        <v>1217.75</v>
      </c>
      <c r="D37" s="232">
        <f t="shared" si="13"/>
        <v>0</v>
      </c>
      <c r="E37" s="232">
        <f t="shared" si="13"/>
        <v>0</v>
      </c>
      <c r="F37" s="232">
        <f t="shared" si="13"/>
        <v>0</v>
      </c>
      <c r="G37" s="232">
        <f t="shared" si="13"/>
        <v>0</v>
      </c>
      <c r="H37" s="232">
        <f t="shared" si="13"/>
        <v>0</v>
      </c>
      <c r="I37" s="232">
        <f t="shared" si="13"/>
        <v>0</v>
      </c>
      <c r="J37" s="232">
        <f t="shared" si="13"/>
        <v>0</v>
      </c>
      <c r="K37" s="232">
        <f t="shared" si="13"/>
        <v>0</v>
      </c>
      <c r="L37" s="232">
        <f t="shared" si="13"/>
        <v>0</v>
      </c>
      <c r="M37" s="232">
        <f t="shared" si="13"/>
        <v>0</v>
      </c>
      <c r="N37" s="232">
        <f t="shared" si="13"/>
        <v>0</v>
      </c>
      <c r="O37" s="232">
        <f t="shared" si="13"/>
        <v>0</v>
      </c>
      <c r="P37" s="232">
        <f t="shared" si="13"/>
        <v>0</v>
      </c>
      <c r="Q37" s="232">
        <f t="shared" si="13"/>
        <v>0</v>
      </c>
      <c r="R37" s="232">
        <f t="shared" si="13"/>
        <v>0</v>
      </c>
      <c r="S37" s="232">
        <f t="shared" si="13"/>
        <v>0</v>
      </c>
    </row>
    <row r="38" spans="1:199" s="241" customFormat="1" ht="7.5" hidden="1" thickBot="1">
      <c r="A38" s="240" t="s">
        <v>110</v>
      </c>
      <c r="B38" s="241">
        <f t="shared" ref="B38:K38" si="14">B29-SUM(B35:B37)</f>
        <v>0</v>
      </c>
      <c r="C38" s="241">
        <f t="shared" si="14"/>
        <v>0</v>
      </c>
      <c r="D38" s="241">
        <f t="shared" si="14"/>
        <v>0</v>
      </c>
      <c r="E38" s="241">
        <f t="shared" si="14"/>
        <v>0</v>
      </c>
      <c r="F38" s="241">
        <f t="shared" si="14"/>
        <v>0</v>
      </c>
      <c r="G38" s="241">
        <f t="shared" si="14"/>
        <v>0</v>
      </c>
      <c r="H38" s="241">
        <f t="shared" si="14"/>
        <v>0</v>
      </c>
      <c r="I38" s="241">
        <f t="shared" si="14"/>
        <v>0</v>
      </c>
      <c r="J38" s="241">
        <f t="shared" si="14"/>
        <v>0</v>
      </c>
      <c r="K38" s="241">
        <f t="shared" si="14"/>
        <v>0</v>
      </c>
      <c r="L38" s="241">
        <f t="shared" ref="L38:S38" si="15">L29-SUM(L35:L37)</f>
        <v>0</v>
      </c>
      <c r="M38" s="241">
        <f t="shared" si="15"/>
        <v>0</v>
      </c>
      <c r="N38" s="241">
        <f t="shared" si="15"/>
        <v>0</v>
      </c>
      <c r="O38" s="241">
        <f t="shared" si="15"/>
        <v>0</v>
      </c>
      <c r="P38" s="241">
        <f t="shared" si="15"/>
        <v>0</v>
      </c>
      <c r="Q38" s="241">
        <f t="shared" si="15"/>
        <v>0</v>
      </c>
      <c r="R38" s="241">
        <f t="shared" si="15"/>
        <v>0</v>
      </c>
      <c r="S38" s="241">
        <f t="shared" si="15"/>
        <v>0</v>
      </c>
    </row>
    <row r="39" spans="1:199" ht="8" thickTop="1" thickBot="1">
      <c r="H39" t="s">
        <v>154</v>
      </c>
      <c r="K39" t="s">
        <v>154</v>
      </c>
    </row>
    <row r="40" spans="1:199" ht="11.5" thickTop="1" thickBot="1">
      <c r="A40" s="11" t="s">
        <v>135</v>
      </c>
      <c r="U40" s="196"/>
    </row>
    <row r="41" spans="1:199" ht="7.5" thickTop="1">
      <c r="A41" s="79" t="s">
        <v>68</v>
      </c>
      <c r="B41" s="449" t="s">
        <v>147</v>
      </c>
      <c r="C41" s="449" t="s">
        <v>235</v>
      </c>
      <c r="D41" s="449" t="s">
        <v>236</v>
      </c>
      <c r="E41" s="449" t="s">
        <v>147</v>
      </c>
      <c r="F41" s="449" t="s">
        <v>245</v>
      </c>
      <c r="G41" s="449" t="s">
        <v>243</v>
      </c>
      <c r="H41" s="449" t="s">
        <v>235</v>
      </c>
      <c r="I41" s="449" t="s">
        <v>147</v>
      </c>
      <c r="J41" s="449" t="s">
        <v>147</v>
      </c>
      <c r="K41" s="449" t="s">
        <v>147</v>
      </c>
      <c r="L41" s="449" t="s">
        <v>147</v>
      </c>
      <c r="M41" s="449" t="s">
        <v>245</v>
      </c>
      <c r="N41" s="449" t="s">
        <v>243</v>
      </c>
      <c r="O41" s="449" t="s">
        <v>147</v>
      </c>
      <c r="P41" s="449" t="s">
        <v>147</v>
      </c>
      <c r="Q41" s="449" t="s">
        <v>248</v>
      </c>
      <c r="R41" s="449" t="s">
        <v>147</v>
      </c>
      <c r="S41" s="449" t="s">
        <v>236</v>
      </c>
      <c r="T41" s="14"/>
      <c r="U41" s="14"/>
    </row>
    <row r="42" spans="1:199">
      <c r="A42" s="7" t="s">
        <v>69</v>
      </c>
      <c r="B42" s="80">
        <f>Summary!E1</f>
        <v>44686</v>
      </c>
      <c r="C42" s="78">
        <f>B42+7</f>
        <v>44693</v>
      </c>
      <c r="D42" s="78">
        <f>C42+7</f>
        <v>44700</v>
      </c>
      <c r="E42" s="78">
        <f>D42+7</f>
        <v>44707</v>
      </c>
      <c r="F42" s="78">
        <f t="shared" ref="F42:S42" si="16">E42+7</f>
        <v>44714</v>
      </c>
      <c r="G42" s="78">
        <f t="shared" si="16"/>
        <v>44721</v>
      </c>
      <c r="H42" s="78">
        <f t="shared" si="16"/>
        <v>44728</v>
      </c>
      <c r="I42" s="78">
        <f t="shared" si="16"/>
        <v>44735</v>
      </c>
      <c r="J42" s="78">
        <f t="shared" si="16"/>
        <v>44742</v>
      </c>
      <c r="K42" s="78">
        <f t="shared" si="16"/>
        <v>44749</v>
      </c>
      <c r="L42" s="78">
        <f t="shared" si="16"/>
        <v>44756</v>
      </c>
      <c r="M42" s="78">
        <f t="shared" si="16"/>
        <v>44763</v>
      </c>
      <c r="N42" s="78">
        <f t="shared" si="16"/>
        <v>44770</v>
      </c>
      <c r="O42" s="78">
        <f t="shared" si="16"/>
        <v>44777</v>
      </c>
      <c r="P42" s="78">
        <f t="shared" si="16"/>
        <v>44784</v>
      </c>
      <c r="Q42" s="78">
        <f t="shared" si="16"/>
        <v>44791</v>
      </c>
      <c r="R42" s="78">
        <f t="shared" si="16"/>
        <v>44798</v>
      </c>
      <c r="S42" s="78">
        <f t="shared" si="16"/>
        <v>44805</v>
      </c>
      <c r="T42" s="81"/>
      <c r="U42" s="81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</row>
    <row r="43" spans="1:199" s="14" customFormat="1">
      <c r="A43" s="186" t="s">
        <v>12</v>
      </c>
      <c r="B43" s="295">
        <v>0</v>
      </c>
      <c r="C43" s="294">
        <v>4</v>
      </c>
      <c r="D43" s="294">
        <v>7</v>
      </c>
      <c r="E43" s="294"/>
      <c r="F43" s="294">
        <v>4</v>
      </c>
      <c r="G43" s="294">
        <v>5</v>
      </c>
      <c r="H43" s="294">
        <v>4</v>
      </c>
      <c r="I43" s="294"/>
      <c r="J43" s="294"/>
      <c r="K43" s="294"/>
      <c r="L43" s="294"/>
      <c r="M43" s="294">
        <v>3</v>
      </c>
      <c r="N43" s="294">
        <v>4</v>
      </c>
      <c r="O43" s="294"/>
      <c r="P43" s="294"/>
      <c r="Q43" s="294">
        <v>7</v>
      </c>
      <c r="R43" s="294"/>
      <c r="S43" s="294">
        <v>3</v>
      </c>
      <c r="T43" s="81"/>
      <c r="U43" s="179"/>
    </row>
    <row r="44" spans="1:199" s="179" customFormat="1" ht="7.5" thickBot="1">
      <c r="A44" s="188" t="s">
        <v>13</v>
      </c>
      <c r="B44" s="298">
        <v>0</v>
      </c>
      <c r="C44" s="297"/>
      <c r="D44" s="297">
        <v>14</v>
      </c>
      <c r="E44" s="297"/>
      <c r="F44" s="297">
        <v>7</v>
      </c>
      <c r="G44" s="297">
        <v>5</v>
      </c>
      <c r="H44" s="297">
        <v>8</v>
      </c>
      <c r="I44" s="297"/>
      <c r="J44" s="297"/>
      <c r="K44" s="297"/>
      <c r="L44" s="297"/>
      <c r="M44" s="297">
        <v>6</v>
      </c>
      <c r="N44" s="297">
        <v>16</v>
      </c>
      <c r="O44" s="297"/>
      <c r="P44" s="297"/>
      <c r="Q44" s="297">
        <v>6</v>
      </c>
      <c r="R44" s="297"/>
      <c r="S44" s="297">
        <v>4</v>
      </c>
    </row>
    <row r="45" spans="1:199" s="244" customFormat="1" ht="7.5" hidden="1" thickTop="1">
      <c r="A45" s="242" t="s">
        <v>113</v>
      </c>
      <c r="B45" s="243">
        <f>IF(OR(ISTEXT(B42),B42=0),Summary!$E$1-7,B42-MOD(B42-Summary!$E$1,7))</f>
        <v>44686</v>
      </c>
      <c r="C45" s="243">
        <f>IF(OR(ISTEXT(C42),C42=0),Summary!$E$1-7,C42-MOD(C42-Summary!$E$1,7))</f>
        <v>44693</v>
      </c>
      <c r="D45" s="243">
        <f>IF(OR(ISTEXT(D42),D42=0),Summary!$E$1-7,D42-MOD(D42-Summary!$E$1,7))</f>
        <v>44700</v>
      </c>
      <c r="E45" s="243">
        <f>IF(OR(ISTEXT(E42),E42=0),Summary!$E$1-7,E42-MOD(E42-Summary!$E$1,7))</f>
        <v>44707</v>
      </c>
      <c r="F45" s="243">
        <f>IF(OR(ISTEXT(F42),F42=0),Summary!$E$1-7,F42-MOD(F42-Summary!$E$1,7))</f>
        <v>44714</v>
      </c>
      <c r="G45" s="243">
        <f>IF(OR(ISTEXT(G42),G42=0),Summary!$E$1-7,G42-MOD(G42-Summary!$E$1,7))</f>
        <v>44721</v>
      </c>
      <c r="H45" s="243">
        <f>IF(OR(ISTEXT(H42),H42=0),Summary!$E$1-7,H42-MOD(H42-Summary!$E$1,7))</f>
        <v>44728</v>
      </c>
      <c r="I45" s="243">
        <f>IF(OR(ISTEXT(I42),I42=0),Summary!$E$1-7,I42-MOD(I42-Summary!$E$1,7))</f>
        <v>44735</v>
      </c>
      <c r="J45" s="243">
        <f>IF(OR(ISTEXT(J42),J42=0),Summary!$E$1-7,J42-MOD(J42-Summary!$E$1,7))</f>
        <v>44742</v>
      </c>
      <c r="K45" s="243">
        <f>IF(OR(ISTEXT(K42),K42=0),Summary!$E$1-7,K42-MOD(K42-Summary!$E$1,7))</f>
        <v>44749</v>
      </c>
      <c r="L45" s="243">
        <f>IF(OR(ISTEXT(L42),L42=0),Summary!$E$1-7,L42-MOD(L42-Summary!$E$1,7))</f>
        <v>44756</v>
      </c>
      <c r="M45" s="243">
        <f>IF(OR(ISTEXT(M42),M42=0),Summary!$E$1-7,M42-MOD(M42-Summary!$E$1,7))</f>
        <v>44763</v>
      </c>
      <c r="N45" s="243">
        <f>IF(OR(ISTEXT(N42),N42=0),Summary!$E$1-7,N42-MOD(N42-Summary!$E$1,7))</f>
        <v>44770</v>
      </c>
      <c r="O45" s="243">
        <f>IF(OR(ISTEXT(O42),O42=0),Summary!$E$1-7,O42-MOD(O42-Summary!$E$1,7))</f>
        <v>44777</v>
      </c>
      <c r="P45" s="243">
        <f>IF(OR(ISTEXT(P42),P42=0),Summary!$E$1-7,P42-MOD(P42-Summary!$E$1,7))</f>
        <v>44784</v>
      </c>
      <c r="Q45" s="243">
        <f>IF(OR(ISTEXT(Q42),Q42=0),Summary!$E$1-7,Q42-MOD(Q42-Summary!$E$1,7))</f>
        <v>44791</v>
      </c>
      <c r="R45" s="243">
        <f>IF(OR(ISTEXT(R42),R42=0),Summary!$E$1-7,R42-MOD(R42-Summary!$E$1,7))</f>
        <v>44798</v>
      </c>
      <c r="S45" s="243">
        <f>IF(OR(ISTEXT(S42),S42=0),Summary!$E$1-7,S42-MOD(S42-Summary!$E$1,7))</f>
        <v>44805</v>
      </c>
    </row>
    <row r="46" spans="1:199" s="244" customFormat="1" hidden="1">
      <c r="A46" s="236" t="s">
        <v>123</v>
      </c>
      <c r="B46" s="286">
        <f>IF(B43=0,0,1)</f>
        <v>0</v>
      </c>
      <c r="C46" s="288">
        <f t="shared" ref="C46:S46" si="17">IF(C43=0,0,1)</f>
        <v>1</v>
      </c>
      <c r="D46" s="288">
        <f t="shared" si="17"/>
        <v>1</v>
      </c>
      <c r="E46" s="288">
        <f t="shared" si="17"/>
        <v>0</v>
      </c>
      <c r="F46" s="288">
        <f t="shared" si="17"/>
        <v>1</v>
      </c>
      <c r="G46" s="288">
        <f t="shared" si="17"/>
        <v>1</v>
      </c>
      <c r="H46" s="288">
        <f t="shared" si="17"/>
        <v>1</v>
      </c>
      <c r="I46" s="288">
        <f t="shared" si="17"/>
        <v>0</v>
      </c>
      <c r="J46" s="288">
        <f t="shared" si="17"/>
        <v>0</v>
      </c>
      <c r="K46" s="288">
        <f t="shared" si="17"/>
        <v>0</v>
      </c>
      <c r="L46" s="288">
        <f t="shared" si="17"/>
        <v>0</v>
      </c>
      <c r="M46" s="288">
        <f t="shared" si="17"/>
        <v>1</v>
      </c>
      <c r="N46" s="288">
        <f t="shared" si="17"/>
        <v>1</v>
      </c>
      <c r="O46" s="288">
        <f t="shared" si="17"/>
        <v>0</v>
      </c>
      <c r="P46" s="288">
        <f t="shared" si="17"/>
        <v>0</v>
      </c>
      <c r="Q46" s="288">
        <f t="shared" si="17"/>
        <v>1</v>
      </c>
      <c r="R46" s="288">
        <f t="shared" si="17"/>
        <v>0</v>
      </c>
      <c r="S46" s="288">
        <f t="shared" si="17"/>
        <v>1</v>
      </c>
    </row>
    <row r="47" spans="1:199" s="234" customFormat="1" hidden="1">
      <c r="A47" s="236" t="s">
        <v>124</v>
      </c>
      <c r="B47" s="286">
        <f>IF(B43&gt;0,IF(B45=S9,S11,S11+1),S11)</f>
        <v>0</v>
      </c>
      <c r="C47" s="288">
        <f>IF(C43&gt;0,IF(C45=B45,B47,B47+1),B47)</f>
        <v>1</v>
      </c>
      <c r="D47" s="288">
        <f t="shared" ref="D47:S47" si="18">IF(D43&gt;0,IF(D45=C45,C47,C47+1),C47)</f>
        <v>2</v>
      </c>
      <c r="E47" s="288">
        <f t="shared" si="18"/>
        <v>2</v>
      </c>
      <c r="F47" s="288">
        <f t="shared" si="18"/>
        <v>3</v>
      </c>
      <c r="G47" s="288">
        <f t="shared" si="18"/>
        <v>4</v>
      </c>
      <c r="H47" s="288">
        <f t="shared" si="18"/>
        <v>5</v>
      </c>
      <c r="I47" s="288">
        <f t="shared" si="18"/>
        <v>5</v>
      </c>
      <c r="J47" s="288">
        <f t="shared" si="18"/>
        <v>5</v>
      </c>
      <c r="K47" s="288">
        <f t="shared" si="18"/>
        <v>5</v>
      </c>
      <c r="L47" s="288">
        <f t="shared" si="18"/>
        <v>5</v>
      </c>
      <c r="M47" s="288">
        <f t="shared" si="18"/>
        <v>6</v>
      </c>
      <c r="N47" s="288">
        <f t="shared" si="18"/>
        <v>7</v>
      </c>
      <c r="O47" s="288">
        <f t="shared" si="18"/>
        <v>7</v>
      </c>
      <c r="P47" s="288">
        <f t="shared" si="18"/>
        <v>7</v>
      </c>
      <c r="Q47" s="288">
        <f t="shared" si="18"/>
        <v>8</v>
      </c>
      <c r="R47" s="288">
        <f t="shared" si="18"/>
        <v>8</v>
      </c>
      <c r="S47" s="288">
        <f t="shared" si="18"/>
        <v>9</v>
      </c>
    </row>
    <row r="48" spans="1:199" s="234" customFormat="1" ht="7.5" hidden="1" thickBot="1">
      <c r="A48" s="236" t="s">
        <v>112</v>
      </c>
      <c r="B48" s="235">
        <f>IF(AND(B45&gt;Summary!$E$1-7,B45&lt;DATE(Summary!$B$1,10,31)),1,0)</f>
        <v>1</v>
      </c>
      <c r="C48" s="235">
        <f>IF(AND(C45&gt;Summary!$E$1-7,C45&lt;DATE(Summary!$B$1,10,31)),1,0)</f>
        <v>1</v>
      </c>
      <c r="D48" s="235">
        <f>IF(AND(D45&gt;Summary!$E$1-7,D45&lt;DATE(Summary!$B$1,10,31)),1,0)</f>
        <v>1</v>
      </c>
      <c r="E48" s="235">
        <f>IF(AND(E45&gt;Summary!$E$1-7,E45&lt;DATE(Summary!$B$1,10,31)),1,0)</f>
        <v>1</v>
      </c>
      <c r="F48" s="235">
        <f>IF(AND(F45&gt;Summary!$E$1-7,F45&lt;DATE(Summary!$B$1,10,31)),1,0)</f>
        <v>1</v>
      </c>
      <c r="G48" s="235">
        <f>IF(AND(G45&gt;Summary!$E$1-7,G45&lt;DATE(Summary!$B$1,10,31)),1,0)</f>
        <v>1</v>
      </c>
      <c r="H48" s="235">
        <f>IF(AND(H45&gt;Summary!$E$1-7,H45&lt;DATE(Summary!$B$1,10,31)),1,0)</f>
        <v>1</v>
      </c>
      <c r="I48" s="235">
        <f>IF(AND(I45&gt;Summary!$E$1-7,I45&lt;DATE(Summary!$B$1,10,31)),1,0)</f>
        <v>1</v>
      </c>
      <c r="J48" s="235">
        <f>IF(AND(J45&gt;Summary!$E$1-7,J45&lt;DATE(Summary!$B$1,10,31)),1,0)</f>
        <v>1</v>
      </c>
      <c r="K48" s="235">
        <f>IF(AND(K45&gt;Summary!$E$1-7,K45&lt;DATE(Summary!$B$1,10,31)),1,0)</f>
        <v>1</v>
      </c>
      <c r="L48" s="235">
        <f>IF(AND(L45&gt;Summary!$E$1-7,L45&lt;DATE(Summary!$B$1,10,31)),1,0)</f>
        <v>1</v>
      </c>
      <c r="M48" s="235">
        <f>IF(AND(M45&gt;Summary!$E$1-7,M45&lt;DATE(Summary!$B$1,10,31)),1,0)</f>
        <v>1</v>
      </c>
      <c r="N48" s="235">
        <f>IF(AND(N45&gt;Summary!$E$1-7,N45&lt;DATE(Summary!$B$1,10,31)),1,0)</f>
        <v>1</v>
      </c>
      <c r="O48" s="235">
        <f>IF(AND(O45&gt;Summary!$E$1-7,O45&lt;DATE(Summary!$B$1,10,31)),1,0)</f>
        <v>1</v>
      </c>
      <c r="P48" s="235">
        <f>IF(AND(P45&gt;Summary!$E$1-7,P45&lt;DATE(Summary!$B$1,10,31)),1,0)</f>
        <v>1</v>
      </c>
      <c r="Q48" s="235">
        <f>IF(AND(Q45&gt;Summary!$E$1-7,Q45&lt;DATE(Summary!$B$1,10,31)),1,0)</f>
        <v>1</v>
      </c>
      <c r="R48" s="235">
        <f>IF(AND(R45&gt;Summary!$E$1-7,R45&lt;DATE(Summary!$B$1,10,31)),1,0)</f>
        <v>1</v>
      </c>
      <c r="S48" s="235">
        <f>IF(AND(S45&gt;Summary!$E$1-7,S45&lt;DATE(Summary!$B$1,10,31)),1,0)</f>
        <v>1</v>
      </c>
    </row>
    <row r="49" spans="1:22" s="44" customFormat="1" ht="11.5" thickTop="1" thickBot="1">
      <c r="A49" s="63" t="s">
        <v>14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"/>
      <c r="U49" s="1"/>
    </row>
    <row r="50" spans="1:22" s="44" customFormat="1" ht="7.5" thickTop="1">
      <c r="A50" s="48" t="s">
        <v>23</v>
      </c>
      <c r="B50" s="301"/>
      <c r="C50" s="300">
        <v>25</v>
      </c>
      <c r="D50" s="300">
        <v>25</v>
      </c>
      <c r="E50" s="300"/>
      <c r="F50" s="300">
        <v>25</v>
      </c>
      <c r="G50" s="300">
        <v>25</v>
      </c>
      <c r="H50" s="300">
        <v>25</v>
      </c>
      <c r="I50" s="300"/>
      <c r="J50" s="300"/>
      <c r="K50" s="300"/>
      <c r="L50" s="300"/>
      <c r="M50" s="300">
        <v>25</v>
      </c>
      <c r="N50" s="300">
        <v>25</v>
      </c>
      <c r="O50" s="300"/>
      <c r="P50" s="300"/>
      <c r="Q50" s="300">
        <v>25</v>
      </c>
      <c r="R50" s="300"/>
      <c r="S50" s="300">
        <v>25</v>
      </c>
    </row>
    <row r="51" spans="1:22" s="44" customFormat="1">
      <c r="A51" s="51" t="s">
        <v>24</v>
      </c>
      <c r="B51" s="304"/>
      <c r="C51" s="303">
        <v>120</v>
      </c>
      <c r="D51" s="303">
        <v>210</v>
      </c>
      <c r="E51" s="303"/>
      <c r="F51" s="303">
        <v>100</v>
      </c>
      <c r="G51" s="303">
        <v>125</v>
      </c>
      <c r="H51" s="303">
        <v>100</v>
      </c>
      <c r="I51" s="303"/>
      <c r="J51" s="303"/>
      <c r="K51" s="303"/>
      <c r="L51" s="303"/>
      <c r="M51" s="303">
        <v>75</v>
      </c>
      <c r="N51" s="303">
        <v>100</v>
      </c>
      <c r="O51" s="303"/>
      <c r="P51" s="303"/>
      <c r="Q51" s="303">
        <v>175</v>
      </c>
      <c r="R51" s="303"/>
      <c r="S51" s="303">
        <v>75</v>
      </c>
    </row>
    <row r="52" spans="1:22" s="44" customFormat="1" ht="7.5" thickBot="1">
      <c r="A52" s="101" t="s">
        <v>27</v>
      </c>
      <c r="B52" s="307"/>
      <c r="C52" s="306"/>
      <c r="D52" s="306">
        <v>350</v>
      </c>
      <c r="E52" s="306"/>
      <c r="F52" s="306">
        <v>175</v>
      </c>
      <c r="G52" s="306">
        <v>125</v>
      </c>
      <c r="H52" s="306">
        <v>200</v>
      </c>
      <c r="I52" s="306"/>
      <c r="J52" s="306"/>
      <c r="K52" s="306"/>
      <c r="L52" s="306"/>
      <c r="M52" s="306">
        <v>150</v>
      </c>
      <c r="N52" s="306">
        <v>400</v>
      </c>
      <c r="O52" s="306"/>
      <c r="P52" s="306"/>
      <c r="Q52" s="306">
        <v>150</v>
      </c>
      <c r="R52" s="306"/>
      <c r="S52" s="306">
        <v>100</v>
      </c>
    </row>
    <row r="53" spans="1:22" s="44" customFormat="1" ht="11.5" thickTop="1" thickBot="1">
      <c r="A53" s="104" t="s">
        <v>70</v>
      </c>
      <c r="B53" s="64">
        <f>SUM(B50:B52)</f>
        <v>0</v>
      </c>
      <c r="C53" s="67">
        <f>SUM(C50:C52)</f>
        <v>145</v>
      </c>
      <c r="D53" s="67">
        <f>SUM(D50:D52)</f>
        <v>585</v>
      </c>
      <c r="E53" s="67">
        <f>SUM(E50:E52)</f>
        <v>0</v>
      </c>
      <c r="F53" s="67">
        <f t="shared" ref="F53:S53" si="19">SUM(F50:F52)</f>
        <v>300</v>
      </c>
      <c r="G53" s="67">
        <f t="shared" si="19"/>
        <v>275</v>
      </c>
      <c r="H53" s="67">
        <f t="shared" si="19"/>
        <v>325</v>
      </c>
      <c r="I53" s="67">
        <f t="shared" si="19"/>
        <v>0</v>
      </c>
      <c r="J53" s="67">
        <f t="shared" si="19"/>
        <v>0</v>
      </c>
      <c r="K53" s="67">
        <f t="shared" si="19"/>
        <v>0</v>
      </c>
      <c r="L53" s="67">
        <f t="shared" si="19"/>
        <v>0</v>
      </c>
      <c r="M53" s="67">
        <f t="shared" si="19"/>
        <v>250</v>
      </c>
      <c r="N53" s="67">
        <f t="shared" si="19"/>
        <v>525</v>
      </c>
      <c r="O53" s="67">
        <f t="shared" si="19"/>
        <v>0</v>
      </c>
      <c r="P53" s="67">
        <f t="shared" si="19"/>
        <v>0</v>
      </c>
      <c r="Q53" s="67">
        <f t="shared" si="19"/>
        <v>350</v>
      </c>
      <c r="R53" s="67">
        <f t="shared" si="19"/>
        <v>0</v>
      </c>
      <c r="S53" s="67">
        <f t="shared" si="19"/>
        <v>200</v>
      </c>
    </row>
    <row r="54" spans="1:22" s="44" customFormat="1" ht="11.5" thickTop="1" thickBot="1">
      <c r="A54" s="258" t="s">
        <v>72</v>
      </c>
      <c r="B54" s="259" t="str">
        <f t="shared" ref="B54:S54" ca="1" si="20">IF(OR(LEFT(B41,2)="un",LEFT(B41,1)="(",B53&lt;&gt;0,B67&lt;&gt;0, B41="",B42&gt;NOW()),"","Acct Due")</f>
        <v/>
      </c>
      <c r="C54" s="259" t="str">
        <f t="shared" ca="1" si="20"/>
        <v/>
      </c>
      <c r="D54" s="259" t="str">
        <f t="shared" ca="1" si="20"/>
        <v/>
      </c>
      <c r="E54" s="259" t="str">
        <f t="shared" ca="1" si="20"/>
        <v/>
      </c>
      <c r="F54" s="259" t="str">
        <f t="shared" ca="1" si="20"/>
        <v/>
      </c>
      <c r="G54" s="259" t="str">
        <f t="shared" ca="1" si="20"/>
        <v/>
      </c>
      <c r="H54" s="259" t="str">
        <f t="shared" ca="1" si="20"/>
        <v/>
      </c>
      <c r="I54" s="259" t="str">
        <f t="shared" ca="1" si="20"/>
        <v/>
      </c>
      <c r="J54" s="259" t="str">
        <f t="shared" ca="1" si="20"/>
        <v/>
      </c>
      <c r="K54" s="259" t="str">
        <f t="shared" ca="1" si="20"/>
        <v/>
      </c>
      <c r="L54" s="259" t="str">
        <f t="shared" ca="1" si="20"/>
        <v/>
      </c>
      <c r="M54" s="259" t="str">
        <f t="shared" ca="1" si="20"/>
        <v/>
      </c>
      <c r="N54" s="259" t="str">
        <f t="shared" ca="1" si="20"/>
        <v/>
      </c>
      <c r="O54" s="259" t="str">
        <f t="shared" ca="1" si="20"/>
        <v/>
      </c>
      <c r="P54" s="259" t="str">
        <f t="shared" ca="1" si="20"/>
        <v/>
      </c>
      <c r="Q54" s="259" t="str">
        <f t="shared" ca="1" si="20"/>
        <v/>
      </c>
      <c r="R54" s="259" t="str">
        <f t="shared" ca="1" si="20"/>
        <v/>
      </c>
      <c r="S54" s="259" t="str">
        <f t="shared" ca="1" si="20"/>
        <v/>
      </c>
      <c r="V54" s="697"/>
    </row>
    <row r="55" spans="1:22" s="44" customFormat="1" ht="8" thickTop="1" thickBot="1">
      <c r="A55" s="48" t="s">
        <v>37</v>
      </c>
      <c r="B55" s="301"/>
      <c r="C55" s="300"/>
      <c r="D55" s="300">
        <v>40</v>
      </c>
      <c r="E55" s="300"/>
      <c r="F55" s="300"/>
      <c r="G55" s="300"/>
      <c r="H55" s="300">
        <v>43.75</v>
      </c>
      <c r="I55" s="300"/>
      <c r="J55" s="300"/>
      <c r="K55" s="300"/>
      <c r="L55" s="300"/>
      <c r="M55" s="300">
        <v>190.7</v>
      </c>
      <c r="N55" s="300"/>
      <c r="O55" s="300"/>
      <c r="P55" s="300"/>
      <c r="Q55" s="300"/>
      <c r="R55" s="300"/>
      <c r="S55" s="300"/>
    </row>
    <row r="56" spans="1:22" s="44" customFormat="1" ht="7.5" thickTop="1">
      <c r="A56" s="51" t="s">
        <v>38</v>
      </c>
      <c r="B56" s="304"/>
      <c r="C56" s="303"/>
      <c r="D56" s="303">
        <v>139.4</v>
      </c>
      <c r="E56" s="303"/>
      <c r="F56" s="303"/>
      <c r="G56" s="300">
        <v>161.99</v>
      </c>
      <c r="H56" s="303"/>
      <c r="I56" s="303"/>
      <c r="J56" s="303"/>
      <c r="K56" s="303"/>
      <c r="L56" s="303"/>
      <c r="M56" s="303"/>
      <c r="N56" s="303">
        <v>74.989999999999995</v>
      </c>
      <c r="O56" s="303"/>
      <c r="P56" s="303"/>
      <c r="Q56" s="303"/>
      <c r="R56" s="303"/>
      <c r="S56" s="303"/>
    </row>
    <row r="57" spans="1:22" s="44" customFormat="1">
      <c r="A57" s="51" t="s">
        <v>39</v>
      </c>
      <c r="B57" s="304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</row>
    <row r="58" spans="1:22" s="44" customFormat="1">
      <c r="A58" s="53" t="s">
        <v>41</v>
      </c>
      <c r="B58" s="93">
        <f>+'OTHER COSTS'!T82</f>
        <v>0</v>
      </c>
      <c r="C58" s="93">
        <f>+'OTHER COSTS'!U82</f>
        <v>0</v>
      </c>
      <c r="D58" s="93">
        <f>+'OTHER COSTS'!V82</f>
        <v>0</v>
      </c>
      <c r="E58" s="93">
        <f>+'OTHER COSTS'!W82</f>
        <v>0</v>
      </c>
      <c r="F58" s="93">
        <f>+'OTHER COSTS'!X82</f>
        <v>0</v>
      </c>
      <c r="G58" s="93">
        <f>+'OTHER COSTS'!Y82</f>
        <v>0</v>
      </c>
      <c r="H58" s="93">
        <f>+'OTHER COSTS'!Z82</f>
        <v>0</v>
      </c>
      <c r="I58" s="93">
        <f>+'OTHER COSTS'!AA82</f>
        <v>0</v>
      </c>
      <c r="J58" s="93">
        <f>+'OTHER COSTS'!AB82</f>
        <v>0</v>
      </c>
      <c r="K58" s="93">
        <f>+'OTHER COSTS'!AC82</f>
        <v>0</v>
      </c>
      <c r="L58" s="93">
        <f>+'OTHER COSTS'!AD82</f>
        <v>0</v>
      </c>
      <c r="M58" s="93">
        <f>+'OTHER COSTS'!AE82</f>
        <v>0</v>
      </c>
      <c r="N58" s="93">
        <f>+'OTHER COSTS'!AF82</f>
        <v>0</v>
      </c>
      <c r="O58" s="93">
        <f>+'OTHER COSTS'!AG82</f>
        <v>0</v>
      </c>
      <c r="P58" s="93">
        <f>+'OTHER COSTS'!AH82</f>
        <v>0</v>
      </c>
      <c r="Q58" s="93">
        <f>+'OTHER COSTS'!AI82</f>
        <v>3.9</v>
      </c>
      <c r="R58" s="93">
        <f>+'OTHER COSTS'!AJ82</f>
        <v>0</v>
      </c>
      <c r="S58" s="93">
        <f>+'OTHER COSTS'!AK82</f>
        <v>0</v>
      </c>
    </row>
    <row r="59" spans="1:22" s="44" customFormat="1">
      <c r="A59" s="83" t="s">
        <v>42</v>
      </c>
      <c r="B59" s="65">
        <f>SUM(B55:B58)</f>
        <v>0</v>
      </c>
      <c r="C59" s="43">
        <f>SUM(C55:C58)</f>
        <v>0</v>
      </c>
      <c r="D59" s="43">
        <f>SUM(D55:D58)</f>
        <v>179.4</v>
      </c>
      <c r="E59" s="43">
        <f>SUM(E55:E58)</f>
        <v>0</v>
      </c>
      <c r="F59" s="43">
        <f t="shared" ref="F59:S59" si="21">SUM(F55:F58)</f>
        <v>0</v>
      </c>
      <c r="G59" s="43">
        <f>SUM(G56:G58)</f>
        <v>161.99</v>
      </c>
      <c r="H59" s="43">
        <f t="shared" si="21"/>
        <v>43.75</v>
      </c>
      <c r="I59" s="43">
        <f t="shared" si="21"/>
        <v>0</v>
      </c>
      <c r="J59" s="43">
        <f t="shared" si="21"/>
        <v>0</v>
      </c>
      <c r="K59" s="43">
        <f t="shared" si="21"/>
        <v>0</v>
      </c>
      <c r="L59" s="43">
        <f t="shared" si="21"/>
        <v>0</v>
      </c>
      <c r="M59" s="43">
        <f t="shared" si="21"/>
        <v>190.7</v>
      </c>
      <c r="N59" s="43">
        <f t="shared" si="21"/>
        <v>74.989999999999995</v>
      </c>
      <c r="O59" s="43">
        <f t="shared" si="21"/>
        <v>0</v>
      </c>
      <c r="P59" s="43">
        <f t="shared" si="21"/>
        <v>0</v>
      </c>
      <c r="Q59" s="43">
        <f t="shared" si="21"/>
        <v>3.9</v>
      </c>
      <c r="R59" s="43">
        <f t="shared" si="21"/>
        <v>0</v>
      </c>
      <c r="S59" s="43">
        <f t="shared" si="21"/>
        <v>0</v>
      </c>
    </row>
    <row r="60" spans="1:22" s="44" customFormat="1" ht="7.5" thickBot="1">
      <c r="A60" s="84" t="s">
        <v>83</v>
      </c>
      <c r="B60" s="316"/>
      <c r="C60" s="310"/>
      <c r="D60" s="310">
        <v>76</v>
      </c>
      <c r="E60" s="310"/>
      <c r="F60" s="310"/>
      <c r="G60" s="310">
        <v>30</v>
      </c>
      <c r="H60" s="310">
        <v>35</v>
      </c>
      <c r="I60" s="310"/>
      <c r="J60" s="310"/>
      <c r="K60" s="310"/>
      <c r="L60" s="310"/>
      <c r="M60" s="310">
        <v>40</v>
      </c>
      <c r="N60" s="310">
        <v>55.5</v>
      </c>
      <c r="O60" s="310"/>
      <c r="P60" s="310"/>
      <c r="Q60" s="310">
        <v>35</v>
      </c>
      <c r="R60" s="310"/>
      <c r="S60" s="310"/>
    </row>
    <row r="61" spans="1:22" s="44" customFormat="1" ht="11.5" thickTop="1" thickBot="1">
      <c r="A61" s="85" t="s">
        <v>73</v>
      </c>
      <c r="B61" s="103"/>
      <c r="C61" s="74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451" t="s">
        <v>154</v>
      </c>
      <c r="R61" s="103"/>
      <c r="S61" s="103"/>
    </row>
    <row r="62" spans="1:22" s="44" customFormat="1" ht="7.5" thickTop="1">
      <c r="A62" s="48" t="s">
        <v>47</v>
      </c>
      <c r="B62" s="66">
        <f>MAINTENANCE!U56</f>
        <v>0</v>
      </c>
      <c r="C62" s="66">
        <f>MAINTENANCE!V56</f>
        <v>3.9</v>
      </c>
      <c r="D62" s="66">
        <f>MAINTENANCE!W56</f>
        <v>165</v>
      </c>
      <c r="E62" s="66">
        <f>MAINTENANCE!X56</f>
        <v>0</v>
      </c>
      <c r="F62" s="66">
        <f>MAINTENANCE!Y56</f>
        <v>80.97</v>
      </c>
      <c r="G62" s="66">
        <f>MAINTENANCE!Z56</f>
        <v>0</v>
      </c>
      <c r="H62" s="66">
        <f>MAINTENANCE!AA56</f>
        <v>0</v>
      </c>
      <c r="I62" s="66">
        <f>MAINTENANCE!AB56</f>
        <v>0</v>
      </c>
      <c r="J62" s="66">
        <f>MAINTENANCE!AC56</f>
        <v>0</v>
      </c>
      <c r="K62" s="66">
        <f>MAINTENANCE!AD56</f>
        <v>0</v>
      </c>
      <c r="L62" s="66">
        <f>MAINTENANCE!AE56</f>
        <v>0</v>
      </c>
      <c r="M62" s="66">
        <f>MAINTENANCE!AF56</f>
        <v>0</v>
      </c>
      <c r="N62" s="66">
        <f>MAINTENANCE!AG56</f>
        <v>0</v>
      </c>
      <c r="O62" s="66">
        <f>MAINTENANCE!AH56</f>
        <v>0</v>
      </c>
      <c r="P62" s="66">
        <f>MAINTENANCE!AI56</f>
        <v>0</v>
      </c>
      <c r="Q62" s="66">
        <f>MAINTENANCE!AJ56</f>
        <v>0</v>
      </c>
      <c r="R62" s="66">
        <f>MAINTENANCE!AK56</f>
        <v>0</v>
      </c>
      <c r="S62" s="66">
        <f>MAINTENANCE!AL56</f>
        <v>0</v>
      </c>
    </row>
    <row r="63" spans="1:22" s="44" customFormat="1">
      <c r="A63" s="51" t="s">
        <v>115</v>
      </c>
      <c r="B63" s="64">
        <f>'OTHER COSTS'!T41+'OTHER COSTS'!T48</f>
        <v>0</v>
      </c>
      <c r="C63" s="64">
        <f>'OTHER COSTS'!U41+'OTHER COSTS'!U48</f>
        <v>0</v>
      </c>
      <c r="D63" s="64">
        <f>'OTHER COSTS'!V41+'OTHER COSTS'!V48</f>
        <v>293.2</v>
      </c>
      <c r="E63" s="64">
        <f>'OTHER COSTS'!W41+'OTHER COSTS'!W48</f>
        <v>0</v>
      </c>
      <c r="F63" s="64">
        <f>'OTHER COSTS'!X41+'OTHER COSTS'!X48</f>
        <v>0</v>
      </c>
      <c r="G63" s="64">
        <f>'OTHER COSTS'!Y41+'OTHER COSTS'!Y48</f>
        <v>58.32</v>
      </c>
      <c r="H63" s="64">
        <f>'OTHER COSTS'!Z41+'OTHER COSTS'!Z48</f>
        <v>0</v>
      </c>
      <c r="I63" s="64">
        <f>'OTHER COSTS'!AA41+'OTHER COSTS'!AA48</f>
        <v>0</v>
      </c>
      <c r="J63" s="64">
        <f>'OTHER COSTS'!AB41+'OTHER COSTS'!AB48</f>
        <v>0</v>
      </c>
      <c r="K63" s="64">
        <f>'OTHER COSTS'!AC41+'OTHER COSTS'!AC48</f>
        <v>0</v>
      </c>
      <c r="L63" s="64">
        <f>'OTHER COSTS'!AD41+'OTHER COSTS'!AD48</f>
        <v>0</v>
      </c>
      <c r="M63" s="64">
        <f>'OTHER COSTS'!AE41+'OTHER COSTS'!AE48</f>
        <v>68.990000000000009</v>
      </c>
      <c r="N63" s="64">
        <f>'OTHER COSTS'!AF41+'OTHER COSTS'!AF48</f>
        <v>0</v>
      </c>
      <c r="O63" s="64">
        <f>'OTHER COSTS'!AG41+'OTHER COSTS'!AG48</f>
        <v>0</v>
      </c>
      <c r="P63" s="64">
        <f>'OTHER COSTS'!AH41+'OTHER COSTS'!AH48</f>
        <v>0</v>
      </c>
      <c r="Q63" s="64">
        <f>'OTHER COSTS'!AI41+'OTHER COSTS'!AI48</f>
        <v>0</v>
      </c>
      <c r="R63" s="64">
        <f>'OTHER COSTS'!AJ41+'OTHER COSTS'!AJ48</f>
        <v>0</v>
      </c>
      <c r="S63" s="64">
        <f>'OTHER COSTS'!AK41+'OTHER COSTS'!AK48</f>
        <v>0</v>
      </c>
    </row>
    <row r="64" spans="1:22" s="44" customFormat="1">
      <c r="A64" s="694" t="s">
        <v>288</v>
      </c>
      <c r="B64" s="64">
        <f>'OTHER COSTS'!T59</f>
        <v>0</v>
      </c>
      <c r="C64" s="64">
        <f>'OTHER COSTS'!U59</f>
        <v>0</v>
      </c>
      <c r="D64" s="64">
        <f>'OTHER COSTS'!V59</f>
        <v>22.99</v>
      </c>
      <c r="E64" s="64">
        <f>'OTHER COSTS'!W59</f>
        <v>0</v>
      </c>
      <c r="F64" s="64">
        <f>'OTHER COSTS'!X59</f>
        <v>0</v>
      </c>
      <c r="G64" s="64">
        <f>'OTHER COSTS'!Y59</f>
        <v>0</v>
      </c>
      <c r="H64" s="64">
        <f>'OTHER COSTS'!Z59</f>
        <v>0</v>
      </c>
      <c r="I64" s="64">
        <f>'OTHER COSTS'!AA59</f>
        <v>0</v>
      </c>
      <c r="J64" s="64">
        <f>'OTHER COSTS'!AB59</f>
        <v>0</v>
      </c>
      <c r="K64" s="64">
        <f>'OTHER COSTS'!AC59</f>
        <v>0</v>
      </c>
      <c r="L64" s="64">
        <f>'OTHER COSTS'!AD59</f>
        <v>0</v>
      </c>
      <c r="M64" s="64">
        <f>'OTHER COSTS'!AE59</f>
        <v>48</v>
      </c>
      <c r="N64" s="64">
        <f>'OTHER COSTS'!AF59</f>
        <v>0</v>
      </c>
      <c r="O64" s="64">
        <f>'OTHER COSTS'!AG59</f>
        <v>0</v>
      </c>
      <c r="P64" s="64">
        <f>'OTHER COSTS'!AH59</f>
        <v>0</v>
      </c>
      <c r="Q64" s="64">
        <f>'OTHER COSTS'!AI59</f>
        <v>0</v>
      </c>
      <c r="R64" s="64">
        <f>'OTHER COSTS'!AJ59</f>
        <v>0</v>
      </c>
      <c r="S64" s="64">
        <f>'OTHER COSTS'!AK59</f>
        <v>0</v>
      </c>
    </row>
    <row r="65" spans="1:21" s="44" customFormat="1" ht="9" customHeight="1">
      <c r="A65" s="53" t="s">
        <v>49</v>
      </c>
      <c r="B65" s="312"/>
      <c r="C65" s="311"/>
      <c r="D65" s="311"/>
      <c r="E65" s="311"/>
      <c r="F65" s="311"/>
      <c r="G65" s="311"/>
      <c r="H65" s="311"/>
      <c r="I65" s="311"/>
      <c r="J65" s="311"/>
      <c r="K65" s="311"/>
      <c r="L65" s="311"/>
      <c r="M65" s="311"/>
      <c r="N65" s="311"/>
      <c r="O65" s="311"/>
      <c r="P65" s="311"/>
      <c r="Q65" s="311"/>
      <c r="R65" s="311"/>
      <c r="S65" s="311"/>
    </row>
    <row r="66" spans="1:21" s="44" customFormat="1" ht="7.5" thickBot="1">
      <c r="A66" s="83" t="s">
        <v>74</v>
      </c>
      <c r="B66" s="65">
        <f>SUM(B62:B65)</f>
        <v>0</v>
      </c>
      <c r="C66" s="43">
        <f>SUM(C62:C65)</f>
        <v>3.9</v>
      </c>
      <c r="D66" s="43">
        <f>SUM(D62:D65)</f>
        <v>481.19</v>
      </c>
      <c r="E66" s="43">
        <f>SUM(E62:E65)</f>
        <v>0</v>
      </c>
      <c r="F66" s="43">
        <f t="shared" ref="F66:S66" si="22">SUM(F62:F65)</f>
        <v>80.97</v>
      </c>
      <c r="G66" s="43">
        <f t="shared" si="22"/>
        <v>58.32</v>
      </c>
      <c r="H66" s="43">
        <f t="shared" si="22"/>
        <v>0</v>
      </c>
      <c r="I66" s="43">
        <f t="shared" si="22"/>
        <v>0</v>
      </c>
      <c r="J66" s="43">
        <f t="shared" si="22"/>
        <v>0</v>
      </c>
      <c r="K66" s="43">
        <f t="shared" si="22"/>
        <v>0</v>
      </c>
      <c r="L66" s="43">
        <f t="shared" si="22"/>
        <v>0</v>
      </c>
      <c r="M66" s="43">
        <f t="shared" si="22"/>
        <v>116.99000000000001</v>
      </c>
      <c r="N66" s="43">
        <f t="shared" si="22"/>
        <v>0</v>
      </c>
      <c r="O66" s="43">
        <f t="shared" si="22"/>
        <v>0</v>
      </c>
      <c r="P66" s="43">
        <f t="shared" si="22"/>
        <v>0</v>
      </c>
      <c r="Q66" s="43">
        <f t="shared" si="22"/>
        <v>0</v>
      </c>
      <c r="R66" s="651" t="s">
        <v>154</v>
      </c>
      <c r="S66" s="43">
        <f t="shared" si="22"/>
        <v>0</v>
      </c>
    </row>
    <row r="67" spans="1:21" s="44" customFormat="1" ht="11.5" thickTop="1" thickBot="1">
      <c r="A67" s="257" t="s">
        <v>53</v>
      </c>
      <c r="B67" s="66">
        <f>SUM(B60:B65)+B59</f>
        <v>0</v>
      </c>
      <c r="C67" s="77">
        <f>SUM(C60:C65)+C59</f>
        <v>3.9</v>
      </c>
      <c r="D67" s="77">
        <f>SUM(D60:D65)+D59</f>
        <v>736.59</v>
      </c>
      <c r="E67" s="77">
        <f>SUM(E60:E65)+E59</f>
        <v>0</v>
      </c>
      <c r="F67" s="77">
        <f t="shared" ref="F67:S67" si="23">SUM(F60:F65)+F59</f>
        <v>80.97</v>
      </c>
      <c r="G67" s="77">
        <f t="shared" si="23"/>
        <v>250.31</v>
      </c>
      <c r="H67" s="77">
        <f t="shared" si="23"/>
        <v>78.75</v>
      </c>
      <c r="I67" s="77">
        <f t="shared" si="23"/>
        <v>0</v>
      </c>
      <c r="J67" s="77">
        <f t="shared" si="23"/>
        <v>0</v>
      </c>
      <c r="K67" s="77">
        <f t="shared" si="23"/>
        <v>0</v>
      </c>
      <c r="L67" s="77">
        <f t="shared" si="23"/>
        <v>0</v>
      </c>
      <c r="M67" s="77">
        <f t="shared" si="23"/>
        <v>347.69</v>
      </c>
      <c r="N67" s="77">
        <f t="shared" si="23"/>
        <v>130.49</v>
      </c>
      <c r="O67" s="77">
        <f t="shared" si="23"/>
        <v>0</v>
      </c>
      <c r="P67" s="77">
        <f t="shared" si="23"/>
        <v>0</v>
      </c>
      <c r="Q67" s="77">
        <f t="shared" si="23"/>
        <v>38.9</v>
      </c>
      <c r="R67" s="77">
        <f t="shared" si="23"/>
        <v>0</v>
      </c>
      <c r="S67" s="77">
        <f t="shared" si="23"/>
        <v>0</v>
      </c>
    </row>
    <row r="68" spans="1:21" s="44" customFormat="1" ht="8" thickTop="1" thickBot="1">
      <c r="A68" s="261" t="s">
        <v>121</v>
      </c>
      <c r="B68" s="262">
        <f>B53-B67</f>
        <v>0</v>
      </c>
      <c r="C68" s="262">
        <f>C53-C67</f>
        <v>141.1</v>
      </c>
      <c r="D68" s="262">
        <f>D53-D67</f>
        <v>-151.59000000000003</v>
      </c>
      <c r="E68" s="262">
        <f>E53-E67</f>
        <v>0</v>
      </c>
      <c r="F68" s="262">
        <f t="shared" ref="F68:S68" si="24">F53-F67</f>
        <v>219.03</v>
      </c>
      <c r="G68" s="262">
        <f t="shared" si="24"/>
        <v>24.689999999999998</v>
      </c>
      <c r="H68" s="262">
        <f t="shared" si="24"/>
        <v>246.25</v>
      </c>
      <c r="I68" s="262">
        <f t="shared" si="24"/>
        <v>0</v>
      </c>
      <c r="J68" s="262">
        <f t="shared" si="24"/>
        <v>0</v>
      </c>
      <c r="K68" s="262">
        <f t="shared" si="24"/>
        <v>0</v>
      </c>
      <c r="L68" s="262">
        <f t="shared" si="24"/>
        <v>0</v>
      </c>
      <c r="M68" s="262">
        <f t="shared" si="24"/>
        <v>-97.69</v>
      </c>
      <c r="N68" s="262">
        <f t="shared" si="24"/>
        <v>394.51</v>
      </c>
      <c r="O68" s="262">
        <f t="shared" si="24"/>
        <v>0</v>
      </c>
      <c r="P68" s="262">
        <f t="shared" si="24"/>
        <v>0</v>
      </c>
      <c r="Q68" s="262">
        <f t="shared" si="24"/>
        <v>311.10000000000002</v>
      </c>
      <c r="R68" s="262">
        <f t="shared" si="24"/>
        <v>0</v>
      </c>
      <c r="S68" s="262">
        <f t="shared" si="24"/>
        <v>200</v>
      </c>
    </row>
    <row r="69" spans="1:21" s="195" customFormat="1" ht="8" thickTop="1" thickBot="1">
      <c r="A69" s="87" t="s">
        <v>120</v>
      </c>
      <c r="B69" s="314" t="str">
        <f t="shared" ref="B69:R69" si="25">IF(B68=0,"","post bal.")</f>
        <v/>
      </c>
      <c r="C69" s="314" t="s">
        <v>183</v>
      </c>
      <c r="D69" s="314" t="s">
        <v>234</v>
      </c>
      <c r="E69" s="314" t="str">
        <f t="shared" si="25"/>
        <v/>
      </c>
      <c r="F69" s="314" t="s">
        <v>234</v>
      </c>
      <c r="G69" s="314" t="s">
        <v>183</v>
      </c>
      <c r="H69" s="314" t="s">
        <v>183</v>
      </c>
      <c r="I69" s="314" t="str">
        <f t="shared" si="25"/>
        <v/>
      </c>
      <c r="J69" s="314" t="str">
        <f t="shared" si="25"/>
        <v/>
      </c>
      <c r="K69" s="314" t="str">
        <f t="shared" si="25"/>
        <v/>
      </c>
      <c r="L69" s="314" t="str">
        <f t="shared" si="25"/>
        <v/>
      </c>
      <c r="M69" s="314" t="s">
        <v>183</v>
      </c>
      <c r="N69" s="314" t="s">
        <v>183</v>
      </c>
      <c r="O69" s="314" t="str">
        <f t="shared" si="25"/>
        <v/>
      </c>
      <c r="P69" s="314" t="str">
        <f t="shared" si="25"/>
        <v/>
      </c>
      <c r="Q69" s="314" t="s">
        <v>183</v>
      </c>
      <c r="R69" s="314" t="str">
        <f t="shared" si="25"/>
        <v/>
      </c>
      <c r="S69" s="314" t="s">
        <v>287</v>
      </c>
      <c r="T69" s="179"/>
      <c r="U69" s="179"/>
    </row>
    <row r="70" spans="1:21" s="234" customFormat="1" ht="7.5" hidden="1" thickTop="1">
      <c r="A70" s="231" t="s">
        <v>106</v>
      </c>
      <c r="B70" s="233">
        <f>IF(B69="post bal.",B68,0)</f>
        <v>0</v>
      </c>
      <c r="C70" s="233">
        <f t="shared" ref="C70:J70" si="26">IF(C69="post bal.",C68,0)</f>
        <v>0</v>
      </c>
      <c r="D70" s="233">
        <f t="shared" si="26"/>
        <v>0</v>
      </c>
      <c r="E70" s="233">
        <f t="shared" si="26"/>
        <v>0</v>
      </c>
      <c r="F70" s="233">
        <f t="shared" si="26"/>
        <v>0</v>
      </c>
      <c r="G70" s="233">
        <f t="shared" si="26"/>
        <v>0</v>
      </c>
      <c r="H70" s="233">
        <f t="shared" si="26"/>
        <v>0</v>
      </c>
      <c r="I70" s="233">
        <f t="shared" si="26"/>
        <v>0</v>
      </c>
      <c r="J70" s="233">
        <f t="shared" si="26"/>
        <v>0</v>
      </c>
      <c r="K70" s="233">
        <f t="shared" ref="K70:S70" si="27">IF(K69="post bal.",K68,0)</f>
        <v>0</v>
      </c>
      <c r="L70" s="233">
        <f t="shared" si="27"/>
        <v>0</v>
      </c>
      <c r="M70" s="233">
        <f t="shared" si="27"/>
        <v>0</v>
      </c>
      <c r="N70" s="233">
        <f t="shared" si="27"/>
        <v>0</v>
      </c>
      <c r="O70" s="233">
        <f t="shared" si="27"/>
        <v>0</v>
      </c>
      <c r="P70" s="233">
        <f t="shared" si="27"/>
        <v>0</v>
      </c>
      <c r="Q70" s="233">
        <f t="shared" si="27"/>
        <v>0</v>
      </c>
      <c r="R70" s="233">
        <f t="shared" si="27"/>
        <v>0</v>
      </c>
      <c r="S70" s="233">
        <f t="shared" si="27"/>
        <v>0</v>
      </c>
      <c r="T70" s="233">
        <f>IF(T69="post bal.",T67,0)</f>
        <v>0</v>
      </c>
      <c r="U70" s="233">
        <f>IF(U69="post bal.",U67,0)</f>
        <v>0</v>
      </c>
    </row>
    <row r="71" spans="1:21" s="232" customFormat="1" hidden="1">
      <c r="A71" s="231" t="s">
        <v>107</v>
      </c>
      <c r="B71" s="232">
        <f t="shared" ref="B71:S71" si="28">IF(B41="Insurance",B65,0)</f>
        <v>0</v>
      </c>
      <c r="C71" s="232">
        <f t="shared" si="28"/>
        <v>0</v>
      </c>
      <c r="D71" s="232">
        <f t="shared" si="28"/>
        <v>0</v>
      </c>
      <c r="E71" s="232">
        <f t="shared" si="28"/>
        <v>0</v>
      </c>
      <c r="F71" s="232">
        <f t="shared" si="28"/>
        <v>0</v>
      </c>
      <c r="G71" s="232">
        <f t="shared" si="28"/>
        <v>0</v>
      </c>
      <c r="H71" s="232">
        <f t="shared" si="28"/>
        <v>0</v>
      </c>
      <c r="I71" s="232">
        <f t="shared" si="28"/>
        <v>0</v>
      </c>
      <c r="J71" s="232">
        <f t="shared" si="28"/>
        <v>0</v>
      </c>
      <c r="K71" s="232">
        <f t="shared" si="28"/>
        <v>0</v>
      </c>
      <c r="L71" s="232">
        <f t="shared" si="28"/>
        <v>0</v>
      </c>
      <c r="M71" s="232">
        <f t="shared" si="28"/>
        <v>0</v>
      </c>
      <c r="N71" s="232">
        <f t="shared" si="28"/>
        <v>0</v>
      </c>
      <c r="O71" s="232">
        <f t="shared" si="28"/>
        <v>0</v>
      </c>
      <c r="P71" s="232">
        <f t="shared" si="28"/>
        <v>0</v>
      </c>
      <c r="Q71" s="232">
        <f t="shared" si="28"/>
        <v>0</v>
      </c>
      <c r="R71" s="232">
        <f t="shared" si="28"/>
        <v>0</v>
      </c>
      <c r="S71" s="232">
        <f t="shared" si="28"/>
        <v>0</v>
      </c>
    </row>
    <row r="72" spans="1:21" s="232" customFormat="1" hidden="1">
      <c r="A72" s="231" t="s">
        <v>108</v>
      </c>
      <c r="B72" s="232">
        <f t="shared" ref="B72:S72" si="29">IF(B41="Mooring",B66,0)</f>
        <v>0</v>
      </c>
      <c r="C72" s="232">
        <f t="shared" si="29"/>
        <v>0</v>
      </c>
      <c r="D72" s="232">
        <f t="shared" si="29"/>
        <v>0</v>
      </c>
      <c r="E72" s="232">
        <f t="shared" si="29"/>
        <v>0</v>
      </c>
      <c r="F72" s="232">
        <f t="shared" si="29"/>
        <v>0</v>
      </c>
      <c r="G72" s="232">
        <f t="shared" si="29"/>
        <v>0</v>
      </c>
      <c r="H72" s="232">
        <f t="shared" si="29"/>
        <v>0</v>
      </c>
      <c r="I72" s="232">
        <f t="shared" si="29"/>
        <v>0</v>
      </c>
      <c r="J72" s="232">
        <f t="shared" si="29"/>
        <v>0</v>
      </c>
      <c r="K72" s="232">
        <f t="shared" si="29"/>
        <v>0</v>
      </c>
      <c r="L72" s="232">
        <f t="shared" si="29"/>
        <v>0</v>
      </c>
      <c r="M72" s="232">
        <f t="shared" si="29"/>
        <v>0</v>
      </c>
      <c r="N72" s="232">
        <f t="shared" si="29"/>
        <v>0</v>
      </c>
      <c r="O72" s="232">
        <f t="shared" si="29"/>
        <v>0</v>
      </c>
      <c r="P72" s="232">
        <f t="shared" si="29"/>
        <v>0</v>
      </c>
      <c r="Q72" s="232">
        <f t="shared" si="29"/>
        <v>0</v>
      </c>
      <c r="R72" s="232">
        <f t="shared" si="29"/>
        <v>0</v>
      </c>
      <c r="S72" s="232">
        <f t="shared" si="29"/>
        <v>0</v>
      </c>
    </row>
    <row r="73" spans="1:21" s="232" customFormat="1" hidden="1">
      <c r="A73" s="231" t="s">
        <v>109</v>
      </c>
      <c r="B73" s="232">
        <f t="shared" ref="B73:S73" si="30">IF(B41="Licence",B67,0)</f>
        <v>0</v>
      </c>
      <c r="C73" s="232">
        <f t="shared" si="30"/>
        <v>0</v>
      </c>
      <c r="D73" s="232">
        <f t="shared" si="30"/>
        <v>0</v>
      </c>
      <c r="E73" s="232">
        <f t="shared" si="30"/>
        <v>0</v>
      </c>
      <c r="F73" s="232">
        <f t="shared" si="30"/>
        <v>0</v>
      </c>
      <c r="G73" s="232">
        <f t="shared" si="30"/>
        <v>0</v>
      </c>
      <c r="H73" s="232">
        <f t="shared" si="30"/>
        <v>0</v>
      </c>
      <c r="I73" s="232">
        <f t="shared" si="30"/>
        <v>0</v>
      </c>
      <c r="J73" s="232">
        <f t="shared" si="30"/>
        <v>0</v>
      </c>
      <c r="K73" s="232">
        <f t="shared" si="30"/>
        <v>0</v>
      </c>
      <c r="L73" s="232">
        <f t="shared" si="30"/>
        <v>0</v>
      </c>
      <c r="M73" s="232">
        <f t="shared" si="30"/>
        <v>0</v>
      </c>
      <c r="N73" s="232">
        <f t="shared" si="30"/>
        <v>0</v>
      </c>
      <c r="O73" s="232">
        <f t="shared" si="30"/>
        <v>0</v>
      </c>
      <c r="P73" s="232">
        <f t="shared" si="30"/>
        <v>0</v>
      </c>
      <c r="Q73" s="232">
        <f t="shared" si="30"/>
        <v>0</v>
      </c>
      <c r="R73" s="232">
        <f t="shared" si="30"/>
        <v>0</v>
      </c>
      <c r="S73" s="232">
        <f t="shared" si="30"/>
        <v>0</v>
      </c>
    </row>
    <row r="74" spans="1:21" s="241" customFormat="1" ht="7.5" hidden="1" thickBot="1">
      <c r="A74" s="240" t="s">
        <v>110</v>
      </c>
      <c r="B74" s="241">
        <f t="shared" ref="B74:K74" si="31">B65-SUM(B71:B73)</f>
        <v>0</v>
      </c>
      <c r="C74" s="241">
        <f t="shared" si="31"/>
        <v>0</v>
      </c>
      <c r="D74" s="241">
        <f t="shared" si="31"/>
        <v>0</v>
      </c>
      <c r="E74" s="241">
        <f t="shared" si="31"/>
        <v>0</v>
      </c>
      <c r="F74" s="241">
        <f t="shared" si="31"/>
        <v>0</v>
      </c>
      <c r="G74" s="241">
        <f t="shared" si="31"/>
        <v>0</v>
      </c>
      <c r="H74" s="241">
        <f t="shared" si="31"/>
        <v>0</v>
      </c>
      <c r="I74" s="241">
        <f t="shared" si="31"/>
        <v>0</v>
      </c>
      <c r="J74" s="241">
        <f t="shared" si="31"/>
        <v>0</v>
      </c>
      <c r="K74" s="241">
        <f t="shared" si="31"/>
        <v>0</v>
      </c>
      <c r="L74" s="241">
        <f t="shared" ref="L74:S74" si="32">L65-SUM(L71:L73)</f>
        <v>0</v>
      </c>
      <c r="M74" s="241">
        <f t="shared" si="32"/>
        <v>0</v>
      </c>
      <c r="N74" s="241">
        <f t="shared" si="32"/>
        <v>0</v>
      </c>
      <c r="O74" s="241">
        <f t="shared" si="32"/>
        <v>0</v>
      </c>
      <c r="P74" s="241">
        <f t="shared" si="32"/>
        <v>0</v>
      </c>
      <c r="Q74" s="241">
        <f t="shared" si="32"/>
        <v>0</v>
      </c>
      <c r="R74" s="241">
        <f t="shared" si="32"/>
        <v>0</v>
      </c>
      <c r="S74" s="241">
        <f t="shared" si="32"/>
        <v>0</v>
      </c>
    </row>
    <row r="75" spans="1:21" s="44" customFormat="1" ht="8" thickTop="1" thickBot="1">
      <c r="K75" s="453"/>
    </row>
    <row r="76" spans="1:21" s="44" customFormat="1" ht="11.5" thickTop="1" thickBot="1">
      <c r="A76" s="11" t="s">
        <v>135</v>
      </c>
    </row>
    <row r="77" spans="1:21" s="44" customFormat="1" ht="7.5" thickTop="1">
      <c r="A77" s="79" t="s">
        <v>68</v>
      </c>
      <c r="B77" s="449" t="s">
        <v>147</v>
      </c>
      <c r="C77" s="449" t="s">
        <v>235</v>
      </c>
      <c r="D77" s="449" t="s">
        <v>147</v>
      </c>
      <c r="E77" s="449" t="s">
        <v>147</v>
      </c>
      <c r="F77" s="449" t="s">
        <v>243</v>
      </c>
      <c r="G77" s="449" t="s">
        <v>147</v>
      </c>
      <c r="H77" s="449" t="s">
        <v>147</v>
      </c>
      <c r="I77" s="449" t="s">
        <v>147</v>
      </c>
      <c r="J77" s="449" t="s">
        <v>250</v>
      </c>
      <c r="K77" s="449" t="s">
        <v>147</v>
      </c>
      <c r="L77" s="449" t="s">
        <v>147</v>
      </c>
      <c r="M77" s="449" t="s">
        <v>147</v>
      </c>
      <c r="N77" s="449" t="s">
        <v>147</v>
      </c>
      <c r="O77" s="449" t="s">
        <v>147</v>
      </c>
      <c r="P77" s="449" t="s">
        <v>147</v>
      </c>
      <c r="Q77" s="449" t="s">
        <v>236</v>
      </c>
      <c r="R77" s="449" t="s">
        <v>147</v>
      </c>
      <c r="S77" s="449" t="s">
        <v>147</v>
      </c>
    </row>
    <row r="78" spans="1:21" s="44" customFormat="1">
      <c r="A78" s="7" t="s">
        <v>69</v>
      </c>
      <c r="B78" s="210">
        <f>S42+7</f>
        <v>44812</v>
      </c>
      <c r="C78" s="80">
        <f t="shared" ref="C78:R78" si="33">B78+7</f>
        <v>44819</v>
      </c>
      <c r="D78" s="80">
        <f t="shared" si="33"/>
        <v>44826</v>
      </c>
      <c r="E78" s="80">
        <f t="shared" si="33"/>
        <v>44833</v>
      </c>
      <c r="F78" s="80">
        <f t="shared" si="33"/>
        <v>44840</v>
      </c>
      <c r="G78" s="80">
        <f t="shared" si="33"/>
        <v>44847</v>
      </c>
      <c r="H78" s="80">
        <f t="shared" si="33"/>
        <v>44854</v>
      </c>
      <c r="I78" s="80">
        <f t="shared" si="33"/>
        <v>44861</v>
      </c>
      <c r="J78" s="80">
        <f t="shared" si="33"/>
        <v>44868</v>
      </c>
      <c r="K78" s="80">
        <f t="shared" si="33"/>
        <v>44875</v>
      </c>
      <c r="L78" s="80">
        <f t="shared" si="33"/>
        <v>44882</v>
      </c>
      <c r="M78" s="80">
        <f t="shared" si="33"/>
        <v>44889</v>
      </c>
      <c r="N78" s="80">
        <f t="shared" si="33"/>
        <v>44896</v>
      </c>
      <c r="O78" s="80">
        <f t="shared" si="33"/>
        <v>44903</v>
      </c>
      <c r="P78" s="80">
        <f t="shared" si="33"/>
        <v>44910</v>
      </c>
      <c r="Q78" s="80">
        <f t="shared" si="33"/>
        <v>44917</v>
      </c>
      <c r="R78" s="81">
        <f t="shared" si="33"/>
        <v>44924</v>
      </c>
      <c r="S78" s="81">
        <v>44553</v>
      </c>
    </row>
    <row r="79" spans="1:21" s="44" customFormat="1">
      <c r="A79" s="94" t="s">
        <v>12</v>
      </c>
      <c r="B79" s="294"/>
      <c r="C79" s="294">
        <v>4</v>
      </c>
      <c r="D79" s="294"/>
      <c r="E79" s="294"/>
      <c r="F79" s="294">
        <v>2</v>
      </c>
      <c r="G79" s="294"/>
      <c r="H79" s="294"/>
      <c r="I79" s="294"/>
      <c r="J79" s="294">
        <v>2</v>
      </c>
      <c r="K79" s="294"/>
      <c r="L79" s="294"/>
      <c r="M79" s="294"/>
      <c r="N79" s="294"/>
      <c r="O79" s="294"/>
      <c r="P79" s="294"/>
      <c r="Q79" s="294">
        <v>6</v>
      </c>
      <c r="R79" s="296"/>
      <c r="S79" s="294"/>
    </row>
    <row r="80" spans="1:21" s="44" customFormat="1" ht="7.5" thickBot="1">
      <c r="A80" s="98" t="s">
        <v>13</v>
      </c>
      <c r="B80" s="294"/>
      <c r="C80" s="297">
        <v>16</v>
      </c>
      <c r="D80" s="297"/>
      <c r="E80" s="297"/>
      <c r="F80" s="297">
        <v>2</v>
      </c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>
        <v>10</v>
      </c>
      <c r="R80" s="299"/>
      <c r="S80" s="297"/>
    </row>
    <row r="81" spans="1:21" s="244" customFormat="1" ht="7.5" hidden="1" thickTop="1">
      <c r="A81" s="242" t="s">
        <v>113</v>
      </c>
      <c r="B81" s="263">
        <f>IF(OR(ISTEXT(B78),B78=0),Summary!$E$1-7,B78-MOD(B78-Summary!$E$1,7))</f>
        <v>44812</v>
      </c>
      <c r="C81" s="243">
        <f>IF(OR(ISTEXT(C78),C78=0),Summary!$E$1-7,C78-MOD(C78-Summary!$E$1,7))</f>
        <v>44819</v>
      </c>
      <c r="D81" s="243">
        <f>IF(OR(ISTEXT(D78),D78=0),Summary!$E$1-7,D78-MOD(D78-Summary!$E$1,7))</f>
        <v>44826</v>
      </c>
      <c r="E81" s="243">
        <f>IF(OR(ISTEXT(E78),E78=0),Summary!$E$1-7,E78-MOD(E78-Summary!$E$1,7))</f>
        <v>44833</v>
      </c>
      <c r="F81" s="243">
        <f>IF(OR(ISTEXT(F78),F78=0),Summary!$E$1-7,F78-MOD(F78-Summary!$E$1,7))</f>
        <v>44840</v>
      </c>
      <c r="G81" s="243">
        <f>IF(OR(ISTEXT(G78),G78=0),Summary!$E$1-7,G78-MOD(G78-Summary!$E$1,7))</f>
        <v>44847</v>
      </c>
      <c r="H81" s="243">
        <f>IF(OR(ISTEXT(H78),H78=0),Summary!$E$1-7,H78-MOD(H78-Summary!$E$1,7))</f>
        <v>44854</v>
      </c>
      <c r="I81" s="243">
        <f>IF(OR(ISTEXT(I78),I78=0),Summary!$E$1-7,I78-MOD(I78-Summary!$E$1,7))</f>
        <v>44861</v>
      </c>
      <c r="J81" s="243">
        <f>IF(OR(ISTEXT(J78),J78=0),Summary!$E$1-7,J78-MOD(J78-Summary!$E$1,7))</f>
        <v>44868</v>
      </c>
      <c r="K81" s="243">
        <f>IF(OR(ISTEXT(K78),K78=0),Summary!$E$1-7,K78-MOD(K78-Summary!$E$1,7))</f>
        <v>44875</v>
      </c>
      <c r="L81" s="243">
        <f>IF(OR(ISTEXT(L78),L78=0),Summary!$E$1-7,L78-MOD(L78-Summary!$E$1,7))</f>
        <v>44882</v>
      </c>
      <c r="M81" s="243">
        <f>IF(OR(ISTEXT(M78),M78=0),Summary!$E$1-7,M78-MOD(M78-Summary!$E$1,7))</f>
        <v>44889</v>
      </c>
      <c r="N81" s="243">
        <f>IF(OR(ISTEXT(N78),N78=0),Summary!$E$1-7,N78-MOD(N78-Summary!$E$1,7))</f>
        <v>44896</v>
      </c>
      <c r="O81" s="243">
        <f>IF(OR(ISTEXT(O78),O78=0),Summary!$E$1-7,O78-MOD(O78-Summary!$E$1,7))</f>
        <v>44903</v>
      </c>
      <c r="P81" s="243">
        <f>IF(OR(ISTEXT(P78),P78=0),Summary!$E$1-7,P78-MOD(P78-Summary!$E$1,7))</f>
        <v>44910</v>
      </c>
      <c r="Q81" s="243">
        <f>IF(OR(ISTEXT(Q78),Q78=0),Summary!$E$1-7,Q78-MOD(Q78-Summary!$E$1,7))</f>
        <v>44917</v>
      </c>
      <c r="R81" s="263">
        <f>IF(OR(ISTEXT(R78),R78=0),Summary!$E$1-7,R78-MOD(R78-Summary!$E$1,7))</f>
        <v>44924</v>
      </c>
      <c r="S81" s="243">
        <f>IF(OR(ISTEXT(S78),S78=0),Summary!$E$1-7,S78-MOD(S78-Summary!$E$1,7))</f>
        <v>44553</v>
      </c>
    </row>
    <row r="82" spans="1:21" s="244" customFormat="1" hidden="1">
      <c r="A82" s="236" t="s">
        <v>123</v>
      </c>
      <c r="B82" s="286">
        <f>IF(B79=0,0,1)</f>
        <v>0</v>
      </c>
      <c r="C82" s="288">
        <f t="shared" ref="C82:S82" si="34">IF(C79=0,0,1)</f>
        <v>1</v>
      </c>
      <c r="D82" s="288">
        <f t="shared" si="34"/>
        <v>0</v>
      </c>
      <c r="E82" s="288">
        <f t="shared" si="34"/>
        <v>0</v>
      </c>
      <c r="F82" s="288">
        <f t="shared" si="34"/>
        <v>1</v>
      </c>
      <c r="G82" s="288">
        <f t="shared" si="34"/>
        <v>0</v>
      </c>
      <c r="H82" s="288">
        <f t="shared" si="34"/>
        <v>0</v>
      </c>
      <c r="I82" s="288">
        <f t="shared" si="34"/>
        <v>0</v>
      </c>
      <c r="J82" s="288">
        <f t="shared" si="34"/>
        <v>1</v>
      </c>
      <c r="K82" s="288">
        <f t="shared" si="34"/>
        <v>0</v>
      </c>
      <c r="L82" s="288">
        <f t="shared" si="34"/>
        <v>0</v>
      </c>
      <c r="M82" s="288">
        <f t="shared" si="34"/>
        <v>0</v>
      </c>
      <c r="N82" s="288">
        <f t="shared" si="34"/>
        <v>0</v>
      </c>
      <c r="O82" s="288">
        <f t="shared" si="34"/>
        <v>0</v>
      </c>
      <c r="P82" s="288">
        <f t="shared" si="34"/>
        <v>0</v>
      </c>
      <c r="Q82" s="288">
        <f t="shared" si="34"/>
        <v>1</v>
      </c>
      <c r="R82" s="510">
        <f t="shared" si="34"/>
        <v>0</v>
      </c>
      <c r="S82" s="288">
        <f t="shared" si="34"/>
        <v>0</v>
      </c>
    </row>
    <row r="83" spans="1:21" s="234" customFormat="1" hidden="1">
      <c r="A83" s="236" t="s">
        <v>124</v>
      </c>
      <c r="B83" s="235">
        <f>IF(B79&gt;0,IF(B81=S45,S47,S47+1),S47)</f>
        <v>9</v>
      </c>
      <c r="C83" s="288">
        <f t="shared" ref="C83:S83" si="35">IF(C79&gt;0,IF(C81=B81,B83,B83+1),B83)</f>
        <v>10</v>
      </c>
      <c r="D83" s="288">
        <f t="shared" si="35"/>
        <v>10</v>
      </c>
      <c r="E83" s="288">
        <f t="shared" si="35"/>
        <v>10</v>
      </c>
      <c r="F83" s="288">
        <f t="shared" si="35"/>
        <v>11</v>
      </c>
      <c r="G83" s="288">
        <f t="shared" si="35"/>
        <v>11</v>
      </c>
      <c r="H83" s="288">
        <f t="shared" si="35"/>
        <v>11</v>
      </c>
      <c r="I83" s="288">
        <f t="shared" si="35"/>
        <v>11</v>
      </c>
      <c r="J83" s="288">
        <f t="shared" si="35"/>
        <v>12</v>
      </c>
      <c r="K83" s="288">
        <f t="shared" si="35"/>
        <v>12</v>
      </c>
      <c r="L83" s="288">
        <f t="shared" si="35"/>
        <v>12</v>
      </c>
      <c r="M83" s="288">
        <f t="shared" si="35"/>
        <v>12</v>
      </c>
      <c r="N83" s="288">
        <f t="shared" si="35"/>
        <v>12</v>
      </c>
      <c r="O83" s="288">
        <f t="shared" si="35"/>
        <v>12</v>
      </c>
      <c r="P83" s="288">
        <f t="shared" si="35"/>
        <v>12</v>
      </c>
      <c r="Q83" s="288">
        <f t="shared" si="35"/>
        <v>13</v>
      </c>
      <c r="R83" s="288">
        <f t="shared" si="35"/>
        <v>13</v>
      </c>
      <c r="S83" s="288">
        <f t="shared" si="35"/>
        <v>13</v>
      </c>
    </row>
    <row r="84" spans="1:21" s="234" customFormat="1" ht="7.5" hidden="1" thickBot="1">
      <c r="A84" s="236" t="s">
        <v>112</v>
      </c>
      <c r="B84" s="235">
        <f>IF(AND(B81&gt;Summary!$E$1-7,B81&lt;DATE(Summary!$B$1,10,31)),1,0)</f>
        <v>1</v>
      </c>
      <c r="C84" s="235">
        <f>IF(AND(C81&gt;Summary!$E$1-7,C81&lt;DATE(Summary!$B$1,10,31)),1,0)</f>
        <v>1</v>
      </c>
      <c r="D84" s="235">
        <f>IF(AND(D81&gt;Summary!$E$1-7,D81&lt;DATE(Summary!$B$1,10,31)),1,0)</f>
        <v>1</v>
      </c>
      <c r="E84" s="235">
        <f>IF(AND(E81&gt;Summary!$E$1-7,E81&lt;DATE(Summary!$B$1,10,31)),1,0)</f>
        <v>1</v>
      </c>
      <c r="F84" s="235">
        <f>IF(AND(F81&gt;Summary!$E$1-7,F81&lt;DATE(Summary!$B$1,10,31)),1,0)</f>
        <v>1</v>
      </c>
      <c r="G84" s="235">
        <f>IF(AND(G81&gt;Summary!$E$1-7,G81&lt;DATE(Summary!$B$1,10,31)),1,0)</f>
        <v>1</v>
      </c>
      <c r="H84" s="235">
        <f>IF(AND(H81&gt;Summary!$E$1-7,H81&lt;DATE(Summary!$B$1,10,31)),1,0)</f>
        <v>1</v>
      </c>
      <c r="I84" s="235">
        <f>IF(AND(I81&gt;Summary!$E$1-7,I81&lt;DATE(Summary!$B$1,10,31)),1,0)</f>
        <v>1</v>
      </c>
      <c r="J84" s="235">
        <f>IF(AND(J81&gt;Summary!$E$1-7,J81&lt;DATE(Summary!$B$1,10,31)),1,0)</f>
        <v>0</v>
      </c>
      <c r="K84" s="235">
        <f>IF(AND(K81&gt;Summary!$E$1-7,K81&lt;DATE(Summary!$B$1,10,31)),1,0)</f>
        <v>0</v>
      </c>
      <c r="L84" s="235">
        <f>IF(AND(L81&gt;Summary!$E$1-7,L81&lt;DATE(Summary!$B$1,10,31)),1,0)</f>
        <v>0</v>
      </c>
      <c r="M84" s="235">
        <f>IF(AND(M81&gt;Summary!$E$1-7,M81&lt;DATE(Summary!$B$1,10,31)),1,0)</f>
        <v>0</v>
      </c>
      <c r="N84" s="235">
        <f>IF(AND(N81&gt;Summary!$E$1-7,N81&lt;DATE(Summary!$B$1,10,31)),1,0)</f>
        <v>0</v>
      </c>
      <c r="O84" s="235">
        <f>IF(AND(O81&gt;Summary!$E$1-7,O81&lt;DATE(Summary!$B$1,10,31)),1,0)</f>
        <v>0</v>
      </c>
      <c r="P84" s="235">
        <f>IF(AND(P81&gt;Summary!$E$1-7,P81&lt;DATE(Summary!$B$1,10,31)),1,0)</f>
        <v>0</v>
      </c>
      <c r="Q84" s="235">
        <f>IF(AND(Q81&gt;Summary!$E$1-7,Q81&lt;DATE(Summary!$B$1,10,31)),1,0)</f>
        <v>0</v>
      </c>
      <c r="R84" s="235">
        <f>IF(AND(R81&gt;Summary!$E$1-7,R81&lt;DATE(Summary!$B$1,10,31)),1,0)</f>
        <v>0</v>
      </c>
      <c r="S84" s="235">
        <f>IF(AND(S81&gt;Summary!$E$1-7,S81&lt;DATE(Summary!$B$1,10,31)),1,0)</f>
        <v>0</v>
      </c>
    </row>
    <row r="85" spans="1:21" s="44" customFormat="1" ht="11.5" thickTop="1" thickBot="1">
      <c r="A85" s="63" t="s">
        <v>14</v>
      </c>
      <c r="B85" s="5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9"/>
    </row>
    <row r="86" spans="1:21" s="44" customFormat="1" ht="7.5" thickTop="1">
      <c r="A86" s="48" t="s">
        <v>23</v>
      </c>
      <c r="B86" s="302"/>
      <c r="C86" s="302">
        <v>25</v>
      </c>
      <c r="D86" s="302"/>
      <c r="E86" s="302"/>
      <c r="F86" s="302">
        <v>25</v>
      </c>
      <c r="G86" s="302"/>
      <c r="H86" s="302"/>
      <c r="I86" s="302"/>
      <c r="J86" s="302">
        <v>25</v>
      </c>
      <c r="K86" s="302"/>
      <c r="L86" s="302"/>
      <c r="M86" s="302"/>
      <c r="N86" s="302"/>
      <c r="O86" s="302"/>
      <c r="P86" s="302"/>
      <c r="Q86" s="302">
        <v>25</v>
      </c>
      <c r="R86" s="302"/>
      <c r="S86" s="300"/>
    </row>
    <row r="87" spans="1:21" s="44" customFormat="1">
      <c r="A87" s="51" t="s">
        <v>24</v>
      </c>
      <c r="B87" s="305"/>
      <c r="C87" s="305">
        <v>100</v>
      </c>
      <c r="D87" s="305"/>
      <c r="E87" s="305"/>
      <c r="F87" s="305">
        <v>60</v>
      </c>
      <c r="G87" s="305"/>
      <c r="H87" s="305"/>
      <c r="I87" s="305"/>
      <c r="J87" s="305">
        <v>60</v>
      </c>
      <c r="K87" s="305"/>
      <c r="L87" s="305"/>
      <c r="M87" s="305"/>
      <c r="N87" s="305"/>
      <c r="O87" s="305"/>
      <c r="P87" s="305"/>
      <c r="Q87" s="305">
        <v>180</v>
      </c>
      <c r="R87" s="305"/>
      <c r="S87" s="303"/>
    </row>
    <row r="88" spans="1:21" s="44" customFormat="1" ht="7.5" thickBot="1">
      <c r="A88" s="101" t="s">
        <v>27</v>
      </c>
      <c r="B88" s="308"/>
      <c r="C88" s="308">
        <v>400</v>
      </c>
      <c r="D88" s="308"/>
      <c r="E88" s="308"/>
      <c r="F88" s="308">
        <v>50</v>
      </c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>
        <v>250</v>
      </c>
      <c r="R88" s="308"/>
      <c r="S88" s="306"/>
    </row>
    <row r="89" spans="1:21" s="44" customFormat="1" ht="11.5" thickTop="1" thickBot="1">
      <c r="A89" s="104" t="s">
        <v>70</v>
      </c>
      <c r="B89" s="52">
        <f>SUM(B86:B88)</f>
        <v>0</v>
      </c>
      <c r="C89" s="52">
        <f>SUM(C86:C88)</f>
        <v>525</v>
      </c>
      <c r="D89" s="52">
        <f>SUM(D86:D88)</f>
        <v>0</v>
      </c>
      <c r="E89" s="52">
        <f>SUM(E86:E88)</f>
        <v>0</v>
      </c>
      <c r="F89" s="52">
        <f>SUM(F86:F88)</f>
        <v>135</v>
      </c>
      <c r="G89" s="52">
        <f t="shared" ref="G89:S89" si="36">SUM(G86:G88)</f>
        <v>0</v>
      </c>
      <c r="H89" s="52">
        <f t="shared" si="36"/>
        <v>0</v>
      </c>
      <c r="I89" s="52">
        <f t="shared" si="36"/>
        <v>0</v>
      </c>
      <c r="J89" s="52">
        <f t="shared" si="36"/>
        <v>85</v>
      </c>
      <c r="K89" s="52">
        <f t="shared" si="36"/>
        <v>0</v>
      </c>
      <c r="L89" s="52">
        <f t="shared" si="36"/>
        <v>0</v>
      </c>
      <c r="M89" s="52">
        <f t="shared" si="36"/>
        <v>0</v>
      </c>
      <c r="N89" s="52">
        <f t="shared" si="36"/>
        <v>0</v>
      </c>
      <c r="O89" s="52">
        <f t="shared" si="36"/>
        <v>0</v>
      </c>
      <c r="P89" s="52">
        <f t="shared" si="36"/>
        <v>0</v>
      </c>
      <c r="Q89" s="52">
        <f t="shared" si="36"/>
        <v>455</v>
      </c>
      <c r="R89" s="52">
        <f t="shared" si="36"/>
        <v>0</v>
      </c>
      <c r="S89" s="67">
        <f t="shared" si="36"/>
        <v>0</v>
      </c>
    </row>
    <row r="90" spans="1:21" s="44" customFormat="1" ht="11.5" thickTop="1" thickBot="1">
      <c r="A90" s="11" t="s">
        <v>72</v>
      </c>
      <c r="B90" s="259" t="str">
        <f t="shared" ref="B90:S90" ca="1" si="37">IF(OR(LEFT(B77,2)="un",LEFT(B77,1)="(",B89&lt;&gt;0,B103&lt;&gt;0, B77="",B78&gt;NOW()),"","Acct Due")</f>
        <v/>
      </c>
      <c r="C90" s="259" t="str">
        <f t="shared" ca="1" si="37"/>
        <v/>
      </c>
      <c r="D90" s="259" t="str">
        <f t="shared" ca="1" si="37"/>
        <v/>
      </c>
      <c r="E90" s="259" t="str">
        <f t="shared" ca="1" si="37"/>
        <v/>
      </c>
      <c r="F90" s="259" t="str">
        <f t="shared" ca="1" si="37"/>
        <v/>
      </c>
      <c r="G90" s="259" t="str">
        <f t="shared" ca="1" si="37"/>
        <v/>
      </c>
      <c r="H90" s="259" t="str">
        <f t="shared" ca="1" si="37"/>
        <v/>
      </c>
      <c r="I90" s="259" t="str">
        <f t="shared" ca="1" si="37"/>
        <v/>
      </c>
      <c r="J90" s="259" t="str">
        <f t="shared" ca="1" si="37"/>
        <v/>
      </c>
      <c r="K90" s="259" t="str">
        <f t="shared" ca="1" si="37"/>
        <v/>
      </c>
      <c r="L90" s="259" t="str">
        <f t="shared" ca="1" si="37"/>
        <v/>
      </c>
      <c r="M90" s="259" t="str">
        <f t="shared" ca="1" si="37"/>
        <v/>
      </c>
      <c r="N90" s="259" t="str">
        <f t="shared" ca="1" si="37"/>
        <v/>
      </c>
      <c r="O90" s="259" t="str">
        <f t="shared" ca="1" si="37"/>
        <v/>
      </c>
      <c r="P90" s="259" t="str">
        <f t="shared" ca="1" si="37"/>
        <v/>
      </c>
      <c r="Q90" s="259" t="str">
        <f t="shared" ca="1" si="37"/>
        <v/>
      </c>
      <c r="R90" s="259" t="str">
        <f t="shared" ca="1" si="37"/>
        <v/>
      </c>
      <c r="S90" s="259" t="str">
        <f t="shared" ca="1" si="37"/>
        <v/>
      </c>
      <c r="U90" s="44" t="b">
        <f>B81&lt;DATE(2022,10,31)</f>
        <v>1</v>
      </c>
    </row>
    <row r="91" spans="1:21" s="44" customFormat="1" ht="7.5" thickTop="1">
      <c r="A91" s="48" t="s">
        <v>37</v>
      </c>
      <c r="B91" s="302"/>
      <c r="C91" s="302"/>
      <c r="D91" s="302"/>
      <c r="E91" s="302"/>
      <c r="F91" s="302">
        <v>47</v>
      </c>
      <c r="G91" s="302"/>
      <c r="H91" s="302"/>
      <c r="I91" s="302"/>
      <c r="J91" s="302"/>
      <c r="K91" s="302"/>
      <c r="L91" s="302"/>
      <c r="M91" s="302"/>
      <c r="N91" s="302"/>
      <c r="O91" s="302"/>
      <c r="P91" s="302"/>
      <c r="Q91" s="302"/>
      <c r="R91" s="302"/>
      <c r="S91" s="300"/>
    </row>
    <row r="92" spans="1:21" s="44" customFormat="1">
      <c r="A92" s="51" t="s">
        <v>38</v>
      </c>
      <c r="B92" s="305"/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>
        <v>219.32999999999998</v>
      </c>
      <c r="R92" s="305"/>
      <c r="S92" s="303"/>
    </row>
    <row r="93" spans="1:21" s="44" customFormat="1">
      <c r="A93" s="51" t="s">
        <v>39</v>
      </c>
      <c r="B93" s="305"/>
      <c r="C93" s="305"/>
      <c r="D93" s="305"/>
      <c r="E93" s="305"/>
      <c r="F93" s="305"/>
      <c r="G93" s="305"/>
      <c r="H93" s="305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3"/>
    </row>
    <row r="94" spans="1:21" s="44" customFormat="1">
      <c r="A94" s="53" t="s">
        <v>41</v>
      </c>
      <c r="B94" s="91"/>
      <c r="C94" s="93">
        <f>+'OTHER COSTS'!AM82</f>
        <v>0</v>
      </c>
      <c r="D94" s="93">
        <f>+'OTHER COSTS'!AN82</f>
        <v>0</v>
      </c>
      <c r="E94" s="93">
        <f>+'OTHER COSTS'!AO82</f>
        <v>0</v>
      </c>
      <c r="F94" s="91">
        <f>+'OTHER COSTS'!AP82</f>
        <v>0</v>
      </c>
      <c r="G94" s="91">
        <f>+'OTHER COSTS'!AQ82</f>
        <v>0</v>
      </c>
      <c r="H94" s="91">
        <f>+'OTHER COSTS'!AR82</f>
        <v>0</v>
      </c>
      <c r="I94" s="91">
        <f>+'OTHER COSTS'!AS82</f>
        <v>0</v>
      </c>
      <c r="J94" s="91">
        <f>+'OTHER COSTS'!AT82</f>
        <v>0</v>
      </c>
      <c r="K94" s="91">
        <f>+'OTHER COSTS'!AU82</f>
        <v>0</v>
      </c>
      <c r="L94" s="91">
        <f>+'OTHER COSTS'!AV82</f>
        <v>0</v>
      </c>
      <c r="M94" s="93">
        <f>+'OTHER COSTS'!AW82</f>
        <v>0</v>
      </c>
      <c r="N94" s="91">
        <f>+'OTHER COSTS'!AX82</f>
        <v>0</v>
      </c>
      <c r="O94" s="91">
        <f>+'OTHER COSTS'!AY82</f>
        <v>0</v>
      </c>
      <c r="P94" s="91">
        <f>+'OTHER COSTS'!AZ82</f>
        <v>0</v>
      </c>
      <c r="Q94" s="91">
        <f>+'OTHER COSTS'!BA82</f>
        <v>0</v>
      </c>
      <c r="R94" s="91">
        <f>+'OTHER COSTS'!BB82</f>
        <v>0</v>
      </c>
      <c r="S94" s="90">
        <f>+'OTHER COSTS'!BC82</f>
        <v>0</v>
      </c>
    </row>
    <row r="95" spans="1:21" s="44" customFormat="1">
      <c r="A95" s="83" t="s">
        <v>42</v>
      </c>
      <c r="B95" s="47">
        <f>SUM(B91:B94)</f>
        <v>0</v>
      </c>
      <c r="C95" s="47">
        <f>SUM(C91:C94)</f>
        <v>0</v>
      </c>
      <c r="D95" s="47">
        <f>SUM(D91:D94)</f>
        <v>0</v>
      </c>
      <c r="E95" s="47">
        <f>SUM(E91:E94)</f>
        <v>0</v>
      </c>
      <c r="F95" s="47">
        <f>SUM(F91:F94)</f>
        <v>47</v>
      </c>
      <c r="G95" s="47">
        <f t="shared" ref="G95:S95" si="38">SUM(G91:G94)</f>
        <v>0</v>
      </c>
      <c r="H95" s="47">
        <f t="shared" si="38"/>
        <v>0</v>
      </c>
      <c r="I95" s="47">
        <f t="shared" si="38"/>
        <v>0</v>
      </c>
      <c r="J95" s="47">
        <f t="shared" si="38"/>
        <v>0</v>
      </c>
      <c r="K95" s="47">
        <f t="shared" si="38"/>
        <v>0</v>
      </c>
      <c r="L95" s="47">
        <f t="shared" si="38"/>
        <v>0</v>
      </c>
      <c r="M95" s="47">
        <f t="shared" si="38"/>
        <v>0</v>
      </c>
      <c r="N95" s="47">
        <f t="shared" si="38"/>
        <v>0</v>
      </c>
      <c r="O95" s="47">
        <f t="shared" si="38"/>
        <v>0</v>
      </c>
      <c r="P95" s="47">
        <f t="shared" si="38"/>
        <v>0</v>
      </c>
      <c r="Q95" s="47">
        <f t="shared" si="38"/>
        <v>219.32999999999998</v>
      </c>
      <c r="R95" s="47">
        <f t="shared" si="38"/>
        <v>0</v>
      </c>
      <c r="S95" s="43">
        <f t="shared" si="38"/>
        <v>0</v>
      </c>
    </row>
    <row r="96" spans="1:21" s="44" customFormat="1" ht="7.5" thickBot="1">
      <c r="A96" s="84" t="s">
        <v>83</v>
      </c>
      <c r="B96" s="318"/>
      <c r="C96" s="309">
        <v>40</v>
      </c>
      <c r="D96" s="309"/>
      <c r="E96" s="309"/>
      <c r="F96" s="309"/>
      <c r="G96" s="309"/>
      <c r="H96" s="309"/>
      <c r="I96" s="309"/>
      <c r="J96" s="309"/>
      <c r="K96" s="309"/>
      <c r="L96" s="309"/>
      <c r="M96" s="309"/>
      <c r="N96" s="309"/>
      <c r="O96" s="309"/>
      <c r="P96" s="309"/>
      <c r="Q96" s="309">
        <v>45</v>
      </c>
      <c r="R96" s="309"/>
      <c r="S96" s="310"/>
    </row>
    <row r="97" spans="1:219" s="44" customFormat="1" ht="11.5" thickTop="1" thickBot="1">
      <c r="A97" s="85" t="s">
        <v>73</v>
      </c>
      <c r="B97" s="237"/>
      <c r="C97" s="103" t="str">
        <f>IF(OR(LEFT(C85,2)="un",C94&lt;&gt;0,C110&lt;&gt;0, C85=""),"","Acct Due")</f>
        <v/>
      </c>
      <c r="D97" s="103" t="str">
        <f>IF(OR(LEFT(D85,2)="un",D94&lt;&gt;0,D110&lt;&gt;0, D85=""),"","Acct Due")</f>
        <v/>
      </c>
      <c r="E97" s="103" t="str">
        <f>IF(OR(LEFT(E85,2)="un",E94&lt;&gt;0,E110&lt;&gt;0, E85=""),"","Acct Due")</f>
        <v/>
      </c>
      <c r="F97" s="103" t="str">
        <f>IF(OR(LEFT(F85,2)="un",F94&lt;&gt;0,F110&lt;&gt;0, F85=""),"","Acct Due")</f>
        <v/>
      </c>
      <c r="G97" s="103" t="str">
        <f t="shared" ref="G97:S97" si="39">IF(OR(LEFT(G85,2)="un",G94&lt;&gt;0,G110&lt;&gt;0, G85=""),"","Acct Due")</f>
        <v/>
      </c>
      <c r="H97" s="103" t="str">
        <f t="shared" si="39"/>
        <v/>
      </c>
      <c r="I97" s="103" t="str">
        <f t="shared" si="39"/>
        <v/>
      </c>
      <c r="J97" s="103" t="str">
        <f t="shared" si="39"/>
        <v/>
      </c>
      <c r="K97" s="103" t="str">
        <f t="shared" si="39"/>
        <v/>
      </c>
      <c r="L97" s="103" t="str">
        <f t="shared" si="39"/>
        <v/>
      </c>
      <c r="M97" s="103" t="str">
        <f t="shared" si="39"/>
        <v/>
      </c>
      <c r="N97" s="103" t="str">
        <f t="shared" si="39"/>
        <v/>
      </c>
      <c r="O97" s="103" t="str">
        <f t="shared" si="39"/>
        <v/>
      </c>
      <c r="P97" s="103" t="str">
        <f t="shared" si="39"/>
        <v/>
      </c>
      <c r="Q97" s="103" t="str">
        <f t="shared" si="39"/>
        <v/>
      </c>
      <c r="R97" s="103" t="str">
        <f t="shared" si="39"/>
        <v/>
      </c>
      <c r="S97" s="417" t="str">
        <f t="shared" si="39"/>
        <v/>
      </c>
    </row>
    <row r="98" spans="1:219" s="44" customFormat="1" ht="7.5" thickTop="1">
      <c r="A98" s="48" t="s">
        <v>47</v>
      </c>
      <c r="B98" s="50">
        <f>MAINTENANCE!AM56</f>
        <v>0</v>
      </c>
      <c r="C98" s="50">
        <f>MAINTENANCE!AN56</f>
        <v>0</v>
      </c>
      <c r="D98" s="50">
        <f>MAINTENANCE!AO56</f>
        <v>0</v>
      </c>
      <c r="E98" s="50">
        <f>MAINTENANCE!AP56</f>
        <v>0</v>
      </c>
      <c r="F98" s="50">
        <f>MAINTENANCE!AQ56</f>
        <v>0</v>
      </c>
      <c r="G98" s="50">
        <f>MAINTENANCE!AR56</f>
        <v>0</v>
      </c>
      <c r="H98" s="50">
        <f>MAINTENANCE!AS56</f>
        <v>0</v>
      </c>
      <c r="I98" s="50">
        <f>MAINTENANCE!AT56</f>
        <v>0</v>
      </c>
      <c r="J98" s="50">
        <f>MAINTENANCE!AU56</f>
        <v>0</v>
      </c>
      <c r="K98" s="50">
        <f>MAINTENANCE!AV56</f>
        <v>0</v>
      </c>
      <c r="L98" s="50">
        <f>MAINTENANCE!AW56</f>
        <v>0</v>
      </c>
      <c r="M98" s="50">
        <f>MAINTENANCE!AX56</f>
        <v>0</v>
      </c>
      <c r="N98" s="50">
        <f>MAINTENANCE!AY56</f>
        <v>0</v>
      </c>
      <c r="O98" s="50">
        <f>MAINTENANCE!AZ56</f>
        <v>0</v>
      </c>
      <c r="P98" s="50">
        <f>MAINTENANCE!BA56</f>
        <v>0</v>
      </c>
      <c r="Q98" s="50">
        <f>MAINTENANCE!BB56</f>
        <v>0</v>
      </c>
      <c r="R98" s="50">
        <f>MAINTENANCE!BC56</f>
        <v>0</v>
      </c>
      <c r="S98" s="77">
        <f>MAINTENANCE!BD56</f>
        <v>0</v>
      </c>
    </row>
    <row r="99" spans="1:219" s="44" customFormat="1">
      <c r="A99" s="51" t="s">
        <v>115</v>
      </c>
      <c r="B99" s="285">
        <f>'OTHER COSTS'!AL41+'OTHER COSTS'!AL48</f>
        <v>0</v>
      </c>
      <c r="C99" s="67">
        <f>'OTHER COSTS'!AM41+'OTHER COSTS'!AM48</f>
        <v>0</v>
      </c>
      <c r="D99" s="67">
        <f>'OTHER COSTS'!AN41+'OTHER COSTS'!AN48</f>
        <v>0</v>
      </c>
      <c r="E99" s="67">
        <f>'OTHER COSTS'!AO41+'OTHER COSTS'!AO48</f>
        <v>0</v>
      </c>
      <c r="F99" s="67">
        <f>'OTHER COSTS'!AP41+'OTHER COSTS'!AP48</f>
        <v>0</v>
      </c>
      <c r="G99" s="67">
        <f>'OTHER COSTS'!AQ41+'OTHER COSTS'!AQ48</f>
        <v>0</v>
      </c>
      <c r="H99" s="67">
        <f>'OTHER COSTS'!AR41+'OTHER COSTS'!AR48</f>
        <v>0</v>
      </c>
      <c r="I99" s="67">
        <f>'OTHER COSTS'!AS41+'OTHER COSTS'!AS48</f>
        <v>0</v>
      </c>
      <c r="J99" s="67">
        <f>'OTHER COSTS'!AT41+'OTHER COSTS'!AT48</f>
        <v>0</v>
      </c>
      <c r="K99" s="67">
        <f>'OTHER COSTS'!AU41+'OTHER COSTS'!AU48</f>
        <v>0</v>
      </c>
      <c r="L99" s="67">
        <f>'OTHER COSTS'!AV41+'OTHER COSTS'!AV48</f>
        <v>0</v>
      </c>
      <c r="M99" s="67">
        <f>'OTHER COSTS'!AW41+'OTHER COSTS'!AW48</f>
        <v>0</v>
      </c>
      <c r="N99" s="67">
        <f>'OTHER COSTS'!AX41+'OTHER COSTS'!AX48</f>
        <v>0</v>
      </c>
      <c r="O99" s="67">
        <f>'OTHER COSTS'!AY41+'OTHER COSTS'!AY48</f>
        <v>0</v>
      </c>
      <c r="P99" s="67">
        <f>'OTHER COSTS'!AZ41+'OTHER COSTS'!AZ48</f>
        <v>0</v>
      </c>
      <c r="Q99" s="67">
        <f>'OTHER COSTS'!BA41+'OTHER COSTS'!BA48</f>
        <v>0</v>
      </c>
      <c r="R99" s="52">
        <f>'OTHER COSTS'!BB41+'OTHER COSTS'!BB48</f>
        <v>0</v>
      </c>
      <c r="S99" s="67">
        <f>'OTHER COSTS'!BC41+'OTHER COSTS'!BC48</f>
        <v>0</v>
      </c>
    </row>
    <row r="100" spans="1:219" s="44" customFormat="1">
      <c r="A100" s="694" t="s">
        <v>288</v>
      </c>
      <c r="B100" s="52">
        <f>'OTHER COSTS'!AL59</f>
        <v>0</v>
      </c>
      <c r="C100" s="52">
        <f>'OTHER COSTS'!AM59</f>
        <v>0</v>
      </c>
      <c r="D100" s="52">
        <f>'OTHER COSTS'!AN59</f>
        <v>0</v>
      </c>
      <c r="E100" s="52">
        <f>'OTHER COSTS'!AO59</f>
        <v>0</v>
      </c>
      <c r="F100" s="52">
        <f>'OTHER COSTS'!AP59</f>
        <v>0</v>
      </c>
      <c r="G100" s="52">
        <f>'OTHER COSTS'!AQ59</f>
        <v>0</v>
      </c>
      <c r="H100" s="52">
        <f>'OTHER COSTS'!AR59</f>
        <v>0</v>
      </c>
      <c r="I100" s="52">
        <f>'OTHER COSTS'!AS59</f>
        <v>0</v>
      </c>
      <c r="J100" s="52">
        <f>'OTHER COSTS'!AT59</f>
        <v>0</v>
      </c>
      <c r="K100" s="52">
        <f>'OTHER COSTS'!AU59</f>
        <v>0</v>
      </c>
      <c r="L100" s="52">
        <f>'OTHER COSTS'!AV59</f>
        <v>0</v>
      </c>
      <c r="M100" s="52">
        <f>'OTHER COSTS'!AW59</f>
        <v>0</v>
      </c>
      <c r="N100" s="52">
        <f>'OTHER COSTS'!AX59</f>
        <v>0</v>
      </c>
      <c r="O100" s="52">
        <f>'OTHER COSTS'!AY59</f>
        <v>0</v>
      </c>
      <c r="P100" s="52">
        <f>'OTHER COSTS'!AZ59</f>
        <v>0</v>
      </c>
      <c r="Q100" s="52">
        <f>'OTHER COSTS'!BA59</f>
        <v>0</v>
      </c>
      <c r="R100" s="52">
        <f>'OTHER COSTS'!BB59</f>
        <v>0</v>
      </c>
      <c r="S100" s="67">
        <f>'OTHER COSTS'!BC59</f>
        <v>0</v>
      </c>
    </row>
    <row r="101" spans="1:219" s="44" customFormat="1">
      <c r="A101" s="53" t="s">
        <v>49</v>
      </c>
      <c r="B101" s="313"/>
      <c r="C101" s="313"/>
      <c r="D101" s="313"/>
      <c r="E101" s="313"/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313"/>
      <c r="R101" s="313"/>
      <c r="S101" s="311"/>
    </row>
    <row r="102" spans="1:219" s="44" customFormat="1" ht="7.5" thickBot="1">
      <c r="A102" s="83" t="s">
        <v>74</v>
      </c>
      <c r="B102" s="47">
        <f>SUM(B98:B101)</f>
        <v>0</v>
      </c>
      <c r="C102" s="47">
        <f>SUM(C98:C101)</f>
        <v>0</v>
      </c>
      <c r="D102" s="47">
        <f>SUM(D98:D101)</f>
        <v>0</v>
      </c>
      <c r="E102" s="47">
        <f>SUM(E98:E101)</f>
        <v>0</v>
      </c>
      <c r="F102" s="47">
        <f>SUM(F98:F101)</f>
        <v>0</v>
      </c>
      <c r="G102" s="47">
        <f t="shared" ref="G102:S102" si="40">SUM(G98:G101)</f>
        <v>0</v>
      </c>
      <c r="H102" s="47">
        <f t="shared" si="40"/>
        <v>0</v>
      </c>
      <c r="I102" s="47">
        <f t="shared" si="40"/>
        <v>0</v>
      </c>
      <c r="J102" s="47">
        <f t="shared" si="40"/>
        <v>0</v>
      </c>
      <c r="K102" s="47">
        <f t="shared" si="40"/>
        <v>0</v>
      </c>
      <c r="L102" s="47">
        <f t="shared" si="40"/>
        <v>0</v>
      </c>
      <c r="M102" s="47">
        <f t="shared" si="40"/>
        <v>0</v>
      </c>
      <c r="N102" s="47">
        <f t="shared" si="40"/>
        <v>0</v>
      </c>
      <c r="O102" s="47">
        <f t="shared" si="40"/>
        <v>0</v>
      </c>
      <c r="P102" s="47">
        <f t="shared" si="40"/>
        <v>0</v>
      </c>
      <c r="Q102" s="47">
        <f t="shared" si="40"/>
        <v>0</v>
      </c>
      <c r="R102" s="47">
        <f t="shared" si="40"/>
        <v>0</v>
      </c>
      <c r="S102" s="43">
        <f t="shared" si="40"/>
        <v>0</v>
      </c>
    </row>
    <row r="103" spans="1:219" s="44" customFormat="1" ht="11.5" thickTop="1" thickBot="1">
      <c r="A103" s="257" t="s">
        <v>53</v>
      </c>
      <c r="B103" s="50">
        <f>SUM(B96:B101)+B95</f>
        <v>0</v>
      </c>
      <c r="C103" s="50">
        <f>SUM(C96:C101)+C95</f>
        <v>40</v>
      </c>
      <c r="D103" s="50">
        <f>SUM(D96:D101)+D95</f>
        <v>0</v>
      </c>
      <c r="E103" s="50">
        <f>SUM(E96:E101)+E95</f>
        <v>0</v>
      </c>
      <c r="F103" s="50">
        <f>SUM(F96:F101)+F95</f>
        <v>47</v>
      </c>
      <c r="G103" s="50">
        <f t="shared" ref="G103:R103" si="41">SUM(G96:G101)+G95</f>
        <v>0</v>
      </c>
      <c r="H103" s="50">
        <f t="shared" si="41"/>
        <v>0</v>
      </c>
      <c r="I103" s="50">
        <f t="shared" si="41"/>
        <v>0</v>
      </c>
      <c r="J103" s="50">
        <f t="shared" si="41"/>
        <v>0</v>
      </c>
      <c r="K103" s="50">
        <f t="shared" si="41"/>
        <v>0</v>
      </c>
      <c r="L103" s="50">
        <f t="shared" si="41"/>
        <v>0</v>
      </c>
      <c r="M103" s="50">
        <f t="shared" si="41"/>
        <v>0</v>
      </c>
      <c r="N103" s="50">
        <f t="shared" si="41"/>
        <v>0</v>
      </c>
      <c r="O103" s="50">
        <f t="shared" si="41"/>
        <v>0</v>
      </c>
      <c r="P103" s="50">
        <f t="shared" si="41"/>
        <v>0</v>
      </c>
      <c r="Q103" s="50">
        <f t="shared" si="41"/>
        <v>264.33</v>
      </c>
      <c r="R103" s="50">
        <f t="shared" si="41"/>
        <v>0</v>
      </c>
      <c r="S103" s="77">
        <f>SUM(S96:S101)+S95</f>
        <v>0</v>
      </c>
    </row>
    <row r="104" spans="1:219" s="44" customFormat="1" ht="8" thickTop="1" thickBot="1">
      <c r="A104" s="261" t="s">
        <v>121</v>
      </c>
      <c r="B104" s="264">
        <f>B89-B103</f>
        <v>0</v>
      </c>
      <c r="C104" s="265">
        <f>C89-C103</f>
        <v>485</v>
      </c>
      <c r="D104" s="265">
        <f>D89-D103</f>
        <v>0</v>
      </c>
      <c r="E104" s="265">
        <f>E89-E103</f>
        <v>0</v>
      </c>
      <c r="F104" s="265">
        <f>F89-F103</f>
        <v>88</v>
      </c>
      <c r="G104" s="265">
        <f t="shared" ref="G104:S104" si="42">G89-G103</f>
        <v>0</v>
      </c>
      <c r="H104" s="265">
        <f t="shared" si="42"/>
        <v>0</v>
      </c>
      <c r="I104" s="265">
        <f t="shared" si="42"/>
        <v>0</v>
      </c>
      <c r="J104" s="265">
        <f t="shared" si="42"/>
        <v>85</v>
      </c>
      <c r="K104" s="265">
        <f t="shared" si="42"/>
        <v>0</v>
      </c>
      <c r="L104" s="265">
        <f t="shared" si="42"/>
        <v>0</v>
      </c>
      <c r="M104" s="265">
        <f t="shared" si="42"/>
        <v>0</v>
      </c>
      <c r="N104" s="265">
        <f t="shared" si="42"/>
        <v>0</v>
      </c>
      <c r="O104" s="265">
        <f t="shared" si="42"/>
        <v>0</v>
      </c>
      <c r="P104" s="265">
        <f t="shared" si="42"/>
        <v>0</v>
      </c>
      <c r="Q104" s="265">
        <f t="shared" si="42"/>
        <v>190.67000000000002</v>
      </c>
      <c r="R104" s="511">
        <f t="shared" si="42"/>
        <v>0</v>
      </c>
      <c r="S104" s="262">
        <f t="shared" si="42"/>
        <v>0</v>
      </c>
    </row>
    <row r="105" spans="1:219" s="195" customFormat="1" ht="8" thickTop="1" thickBot="1">
      <c r="A105" s="87" t="s">
        <v>120</v>
      </c>
      <c r="B105" s="314" t="str">
        <f t="shared" ref="B105:S105" si="43">IF(B104=0,"","post bal.")</f>
        <v/>
      </c>
      <c r="C105" s="314" t="s">
        <v>183</v>
      </c>
      <c r="D105" s="314" t="str">
        <f t="shared" si="43"/>
        <v/>
      </c>
      <c r="E105" s="314" t="str">
        <f t="shared" si="43"/>
        <v/>
      </c>
      <c r="F105" s="314" t="s">
        <v>183</v>
      </c>
      <c r="G105" s="314" t="str">
        <f t="shared" si="43"/>
        <v/>
      </c>
      <c r="H105" s="314" t="str">
        <f t="shared" si="43"/>
        <v/>
      </c>
      <c r="I105" s="314" t="str">
        <f t="shared" si="43"/>
        <v/>
      </c>
      <c r="J105" s="314" t="s">
        <v>183</v>
      </c>
      <c r="K105" s="314" t="str">
        <f t="shared" si="43"/>
        <v/>
      </c>
      <c r="L105" s="314" t="str">
        <f t="shared" si="43"/>
        <v/>
      </c>
      <c r="M105" s="314" t="str">
        <f t="shared" si="43"/>
        <v/>
      </c>
      <c r="N105" s="314" t="str">
        <f t="shared" si="43"/>
        <v/>
      </c>
      <c r="O105" s="314" t="str">
        <f t="shared" si="43"/>
        <v/>
      </c>
      <c r="P105" s="314" t="str">
        <f t="shared" si="43"/>
        <v/>
      </c>
      <c r="Q105" s="314" t="s">
        <v>287</v>
      </c>
      <c r="R105" s="314" t="str">
        <f t="shared" si="43"/>
        <v/>
      </c>
      <c r="S105" s="314" t="str">
        <f t="shared" si="43"/>
        <v/>
      </c>
      <c r="T105" s="179"/>
      <c r="U105" s="179"/>
    </row>
    <row r="106" spans="1:219" s="234" customFormat="1" ht="7.5" hidden="1" thickTop="1">
      <c r="A106" s="231" t="s">
        <v>106</v>
      </c>
      <c r="B106" s="233">
        <f t="shared" ref="B106:S106" si="44">IF(B105="post bal.",B104,0)</f>
        <v>0</v>
      </c>
      <c r="C106" s="233">
        <f t="shared" si="44"/>
        <v>0</v>
      </c>
      <c r="D106" s="233">
        <f t="shared" si="44"/>
        <v>0</v>
      </c>
      <c r="E106" s="233">
        <f t="shared" si="44"/>
        <v>0</v>
      </c>
      <c r="F106" s="233">
        <f t="shared" si="44"/>
        <v>0</v>
      </c>
      <c r="G106" s="233">
        <f t="shared" si="44"/>
        <v>0</v>
      </c>
      <c r="H106" s="233">
        <f t="shared" si="44"/>
        <v>0</v>
      </c>
      <c r="I106" s="233">
        <f t="shared" si="44"/>
        <v>0</v>
      </c>
      <c r="J106" s="233">
        <f t="shared" si="44"/>
        <v>0</v>
      </c>
      <c r="K106" s="233">
        <f t="shared" si="44"/>
        <v>0</v>
      </c>
      <c r="L106" s="233">
        <f t="shared" si="44"/>
        <v>0</v>
      </c>
      <c r="M106" s="233">
        <f t="shared" si="44"/>
        <v>0</v>
      </c>
      <c r="N106" s="233">
        <f t="shared" si="44"/>
        <v>0</v>
      </c>
      <c r="O106" s="233">
        <f t="shared" si="44"/>
        <v>0</v>
      </c>
      <c r="P106" s="233">
        <f t="shared" si="44"/>
        <v>0</v>
      </c>
      <c r="Q106" s="233">
        <f t="shared" si="44"/>
        <v>0</v>
      </c>
      <c r="R106" s="233">
        <f t="shared" si="44"/>
        <v>0</v>
      </c>
      <c r="S106" s="233">
        <f t="shared" si="44"/>
        <v>0</v>
      </c>
      <c r="T106" s="233">
        <f>IF(T105="post bal.",T103,0)</f>
        <v>0</v>
      </c>
      <c r="U106" s="233">
        <f>IF(U105="post bal.",U103,0)</f>
        <v>0</v>
      </c>
    </row>
    <row r="107" spans="1:219" s="232" customFormat="1" hidden="1">
      <c r="A107" s="231" t="s">
        <v>107</v>
      </c>
      <c r="B107" s="232">
        <f t="shared" ref="B107:S107" si="45">IF(B77="Insurance",B101,0)</f>
        <v>0</v>
      </c>
      <c r="C107" s="232">
        <f t="shared" si="45"/>
        <v>0</v>
      </c>
      <c r="D107" s="232">
        <f t="shared" si="45"/>
        <v>0</v>
      </c>
      <c r="E107" s="232">
        <f t="shared" si="45"/>
        <v>0</v>
      </c>
      <c r="F107" s="232">
        <f t="shared" si="45"/>
        <v>0</v>
      </c>
      <c r="G107" s="232">
        <f t="shared" si="45"/>
        <v>0</v>
      </c>
      <c r="H107" s="232">
        <f t="shared" si="45"/>
        <v>0</v>
      </c>
      <c r="I107" s="232">
        <f t="shared" si="45"/>
        <v>0</v>
      </c>
      <c r="J107" s="232">
        <f t="shared" si="45"/>
        <v>0</v>
      </c>
      <c r="K107" s="232">
        <f t="shared" si="45"/>
        <v>0</v>
      </c>
      <c r="L107" s="232">
        <f t="shared" si="45"/>
        <v>0</v>
      </c>
      <c r="M107" s="232">
        <f t="shared" si="45"/>
        <v>0</v>
      </c>
      <c r="N107" s="232">
        <f t="shared" si="45"/>
        <v>0</v>
      </c>
      <c r="O107" s="232">
        <f t="shared" si="45"/>
        <v>0</v>
      </c>
      <c r="P107" s="232">
        <f t="shared" si="45"/>
        <v>0</v>
      </c>
      <c r="Q107" s="232">
        <f t="shared" si="45"/>
        <v>0</v>
      </c>
      <c r="R107" s="232">
        <f t="shared" si="45"/>
        <v>0</v>
      </c>
      <c r="S107" s="232">
        <f t="shared" si="45"/>
        <v>0</v>
      </c>
    </row>
    <row r="108" spans="1:219" s="232" customFormat="1" hidden="1">
      <c r="A108" s="231" t="s">
        <v>108</v>
      </c>
      <c r="B108" s="232">
        <f t="shared" ref="B108:S108" si="46">IF(B77="Mooring",B102,0)</f>
        <v>0</v>
      </c>
      <c r="C108" s="232">
        <f t="shared" si="46"/>
        <v>0</v>
      </c>
      <c r="D108" s="232">
        <f t="shared" si="46"/>
        <v>0</v>
      </c>
      <c r="E108" s="232">
        <f t="shared" si="46"/>
        <v>0</v>
      </c>
      <c r="F108" s="232">
        <f t="shared" si="46"/>
        <v>0</v>
      </c>
      <c r="G108" s="232">
        <f t="shared" si="46"/>
        <v>0</v>
      </c>
      <c r="H108" s="232">
        <f t="shared" si="46"/>
        <v>0</v>
      </c>
      <c r="I108" s="232">
        <f t="shared" si="46"/>
        <v>0</v>
      </c>
      <c r="J108" s="232">
        <f t="shared" si="46"/>
        <v>0</v>
      </c>
      <c r="K108" s="232">
        <f t="shared" si="46"/>
        <v>0</v>
      </c>
      <c r="L108" s="232">
        <f t="shared" si="46"/>
        <v>0</v>
      </c>
      <c r="M108" s="232">
        <f t="shared" si="46"/>
        <v>0</v>
      </c>
      <c r="N108" s="232">
        <f t="shared" si="46"/>
        <v>0</v>
      </c>
      <c r="O108" s="232">
        <f t="shared" si="46"/>
        <v>0</v>
      </c>
      <c r="P108" s="232">
        <f t="shared" si="46"/>
        <v>0</v>
      </c>
      <c r="Q108" s="232">
        <f t="shared" si="46"/>
        <v>0</v>
      </c>
      <c r="R108" s="232">
        <f t="shared" si="46"/>
        <v>0</v>
      </c>
      <c r="S108" s="232">
        <f t="shared" si="46"/>
        <v>0</v>
      </c>
    </row>
    <row r="109" spans="1:219" s="232" customFormat="1" hidden="1">
      <c r="A109" s="231" t="s">
        <v>109</v>
      </c>
      <c r="B109" s="232">
        <f t="shared" ref="B109:S109" si="47">IF(B77="Licence",B103,0)</f>
        <v>0</v>
      </c>
      <c r="C109" s="232">
        <f t="shared" si="47"/>
        <v>0</v>
      </c>
      <c r="D109" s="232">
        <f t="shared" si="47"/>
        <v>0</v>
      </c>
      <c r="E109" s="232">
        <f t="shared" si="47"/>
        <v>0</v>
      </c>
      <c r="F109" s="232">
        <f t="shared" si="47"/>
        <v>0</v>
      </c>
      <c r="G109" s="232">
        <f t="shared" si="47"/>
        <v>0</v>
      </c>
      <c r="H109" s="232">
        <f t="shared" si="47"/>
        <v>0</v>
      </c>
      <c r="I109" s="232">
        <f t="shared" si="47"/>
        <v>0</v>
      </c>
      <c r="J109" s="232">
        <f t="shared" si="47"/>
        <v>0</v>
      </c>
      <c r="K109" s="232">
        <f t="shared" si="47"/>
        <v>0</v>
      </c>
      <c r="L109" s="232">
        <f t="shared" si="47"/>
        <v>0</v>
      </c>
      <c r="M109" s="232">
        <f t="shared" si="47"/>
        <v>0</v>
      </c>
      <c r="N109" s="232">
        <f t="shared" si="47"/>
        <v>0</v>
      </c>
      <c r="O109" s="232">
        <f t="shared" si="47"/>
        <v>0</v>
      </c>
      <c r="P109" s="232">
        <f t="shared" si="47"/>
        <v>0</v>
      </c>
      <c r="Q109" s="232">
        <f t="shared" si="47"/>
        <v>0</v>
      </c>
      <c r="R109" s="232">
        <f t="shared" si="47"/>
        <v>0</v>
      </c>
      <c r="S109" s="232">
        <f t="shared" si="47"/>
        <v>0</v>
      </c>
    </row>
    <row r="110" spans="1:219" s="241" customFormat="1" ht="7.5" hidden="1" thickBot="1">
      <c r="A110" s="240" t="s">
        <v>110</v>
      </c>
      <c r="B110" s="241">
        <f>B101-SUM(B107:B109)</f>
        <v>0</v>
      </c>
      <c r="C110" s="241">
        <f>C101-SUM(C107:C109)</f>
        <v>0</v>
      </c>
      <c r="D110" s="241">
        <f>D101-SUM(D107:D109)</f>
        <v>0</v>
      </c>
      <c r="E110" s="241">
        <f t="shared" ref="E110:R110" si="48">E101-SUM(E107:E109)</f>
        <v>0</v>
      </c>
      <c r="F110" s="241">
        <f t="shared" si="48"/>
        <v>0</v>
      </c>
      <c r="G110" s="241">
        <f t="shared" si="48"/>
        <v>0</v>
      </c>
      <c r="H110" s="241">
        <f t="shared" si="48"/>
        <v>0</v>
      </c>
      <c r="I110" s="241">
        <f t="shared" si="48"/>
        <v>0</v>
      </c>
      <c r="J110" s="241">
        <f t="shared" si="48"/>
        <v>0</v>
      </c>
      <c r="K110" s="241">
        <f t="shared" si="48"/>
        <v>0</v>
      </c>
      <c r="L110" s="241">
        <f t="shared" si="48"/>
        <v>0</v>
      </c>
      <c r="M110" s="241">
        <f t="shared" si="48"/>
        <v>0</v>
      </c>
      <c r="N110" s="241">
        <f t="shared" si="48"/>
        <v>0</v>
      </c>
      <c r="O110" s="241">
        <f t="shared" si="48"/>
        <v>0</v>
      </c>
      <c r="P110" s="241">
        <f t="shared" si="48"/>
        <v>0</v>
      </c>
      <c r="Q110" s="241">
        <f t="shared" si="48"/>
        <v>0</v>
      </c>
      <c r="R110" s="241">
        <f t="shared" si="48"/>
        <v>0</v>
      </c>
      <c r="S110" s="241">
        <f>S101-SUM(S107:S109)</f>
        <v>0</v>
      </c>
    </row>
    <row r="111" spans="1:219" ht="8" thickTop="1" thickBot="1">
      <c r="B111" s="44"/>
      <c r="C111" s="44"/>
      <c r="D111" s="44"/>
      <c r="J111" s="2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</row>
    <row r="112" spans="1:219" s="44" customFormat="1" ht="11.5" thickTop="1" thickBot="1">
      <c r="A112" s="11" t="s">
        <v>130</v>
      </c>
      <c r="H112" s="486"/>
      <c r="I112" s="14"/>
      <c r="J112" s="59"/>
      <c r="L112" s="487"/>
      <c r="M112" s="488"/>
      <c r="N112" s="14"/>
      <c r="O112" s="14"/>
      <c r="P112" s="14"/>
      <c r="Q112" s="14"/>
      <c r="R112" s="14"/>
      <c r="S112" s="14"/>
    </row>
    <row r="113" spans="1:21" s="44" customFormat="1" ht="7.5" thickTop="1">
      <c r="A113" s="79" t="s">
        <v>68</v>
      </c>
      <c r="B113" s="292" t="s">
        <v>147</v>
      </c>
      <c r="C113" s="292" t="s">
        <v>147</v>
      </c>
      <c r="D113" s="292" t="s">
        <v>147</v>
      </c>
      <c r="E113" s="292" t="s">
        <v>147</v>
      </c>
      <c r="F113" s="392"/>
      <c r="G113" s="14"/>
      <c r="H113" s="494"/>
      <c r="I113" s="110"/>
      <c r="J113" s="110"/>
      <c r="K113" s="110"/>
      <c r="L113"/>
      <c r="M113" s="489"/>
      <c r="N113" s="489"/>
      <c r="O113" s="489"/>
      <c r="P113" s="489"/>
      <c r="Q113" s="489"/>
      <c r="R113" s="489"/>
      <c r="S113" s="489"/>
      <c r="U113" s="23" t="s">
        <v>10</v>
      </c>
    </row>
    <row r="114" spans="1:21" s="44" customFormat="1">
      <c r="A114" s="7" t="s">
        <v>69</v>
      </c>
      <c r="B114" s="210">
        <f>S78+7</f>
        <v>44560</v>
      </c>
      <c r="C114" s="78">
        <f>B114+7</f>
        <v>44567</v>
      </c>
      <c r="D114" s="78">
        <f>C114+7</f>
        <v>44574</v>
      </c>
      <c r="E114" s="78">
        <f>D114+7</f>
        <v>44581</v>
      </c>
      <c r="F114" s="81"/>
      <c r="G114" s="81"/>
      <c r="H114" s="489"/>
      <c r="I114" s="110"/>
      <c r="J114" s="110"/>
      <c r="K114" s="110"/>
      <c r="L114"/>
      <c r="M114" s="489"/>
      <c r="N114" s="489"/>
      <c r="O114" s="489"/>
      <c r="P114" s="489"/>
      <c r="Q114" s="489"/>
      <c r="R114" s="489"/>
      <c r="S114" s="489"/>
      <c r="U114" s="81"/>
    </row>
    <row r="115" spans="1:21" s="44" customFormat="1">
      <c r="A115" s="94" t="s">
        <v>12</v>
      </c>
      <c r="B115" s="296"/>
      <c r="C115" s="294"/>
      <c r="D115" s="294"/>
      <c r="E115" s="294"/>
      <c r="F115" s="393"/>
      <c r="G115" s="88"/>
      <c r="H115" s="489"/>
      <c r="I115" s="110"/>
      <c r="J115" s="110"/>
      <c r="K115" s="110"/>
      <c r="L115"/>
      <c r="M115" s="489"/>
      <c r="N115" s="489"/>
      <c r="O115" s="489"/>
      <c r="P115" s="489"/>
      <c r="Q115" s="489"/>
      <c r="R115" s="489"/>
      <c r="S115" s="489"/>
      <c r="U115" s="97">
        <f>SUM(7:7)+SUM(43:43)+SUM(79:79)+SUM(B115:E115)</f>
        <v>55</v>
      </c>
    </row>
    <row r="116" spans="1:21" s="44" customFormat="1" ht="7.5" thickBot="1">
      <c r="A116" s="98" t="s">
        <v>13</v>
      </c>
      <c r="B116" s="299"/>
      <c r="C116" s="297"/>
      <c r="D116" s="297"/>
      <c r="E116" s="297"/>
      <c r="F116" s="393"/>
      <c r="G116" s="88"/>
      <c r="H116" s="489"/>
      <c r="I116" s="110"/>
      <c r="J116" s="110"/>
      <c r="K116" s="110"/>
      <c r="L116"/>
      <c r="M116" s="489"/>
      <c r="N116" s="489"/>
      <c r="O116" s="489"/>
      <c r="P116" s="489"/>
      <c r="Q116" s="489"/>
      <c r="R116" s="489"/>
      <c r="S116" s="489"/>
      <c r="U116" s="97">
        <f>SUM(8:8)+SUM(44:44)+SUM(80:80)+SUM(B116:E116)</f>
        <v>94</v>
      </c>
    </row>
    <row r="117" spans="1:21" s="244" customFormat="1" ht="9.75" hidden="1" customHeight="1" thickTop="1">
      <c r="A117" s="242" t="s">
        <v>113</v>
      </c>
      <c r="B117" s="263">
        <f>IF(OR(ISTEXT(B114),B114=0),Summary!$E$1-7,B114-MOD(B114-Summary!$E$1,7))</f>
        <v>44560</v>
      </c>
      <c r="C117" s="243">
        <v>44819</v>
      </c>
      <c r="D117" s="243">
        <f>IF(OR(ISTEXT(D114),D114=0),Summary!$E$1-7,D114-MOD(D114-Summary!$E$1,7))</f>
        <v>44574</v>
      </c>
      <c r="E117" s="243">
        <f>IF(OR(ISTEXT(E114),E114=0),Summary!$E$1-7,E114-MOD(E114-Summary!$E$1,7))</f>
        <v>44581</v>
      </c>
      <c r="F117" s="394"/>
      <c r="H117" s="489"/>
      <c r="I117" s="110"/>
      <c r="J117" s="110"/>
      <c r="K117" s="110"/>
      <c r="L117"/>
      <c r="M117" s="489"/>
      <c r="N117" s="489"/>
      <c r="O117" s="489"/>
      <c r="P117" s="489"/>
      <c r="Q117" s="489"/>
      <c r="R117" s="489"/>
      <c r="S117" s="489"/>
    </row>
    <row r="118" spans="1:21" s="244" customFormat="1" ht="9.75" hidden="1" customHeight="1">
      <c r="A118" s="236" t="s">
        <v>123</v>
      </c>
      <c r="B118" s="286">
        <f>IF(B115=0,0,1)</f>
        <v>0</v>
      </c>
      <c r="C118" s="288">
        <f t="shared" ref="C118:E118" si="49">IF(C115=0,0,1)</f>
        <v>0</v>
      </c>
      <c r="D118" s="288">
        <f t="shared" si="49"/>
        <v>0</v>
      </c>
      <c r="E118" s="288">
        <f t="shared" si="49"/>
        <v>0</v>
      </c>
      <c r="F118" s="88"/>
      <c r="G118" s="235"/>
      <c r="H118" s="489"/>
      <c r="I118" s="110"/>
      <c r="J118" s="110"/>
      <c r="K118" s="110"/>
      <c r="L118"/>
      <c r="M118" s="489"/>
      <c r="N118" s="489"/>
      <c r="O118" s="489"/>
      <c r="P118" s="489"/>
      <c r="Q118" s="489"/>
      <c r="R118" s="489"/>
      <c r="S118" s="489"/>
    </row>
    <row r="119" spans="1:21" s="234" customFormat="1" ht="9.75" hidden="1" customHeight="1">
      <c r="A119" s="236" t="s">
        <v>111</v>
      </c>
      <c r="B119" s="286">
        <f>IF(B115&gt;0,IF(B117=S81,S83,S83+1),S83)</f>
        <v>13</v>
      </c>
      <c r="C119" s="288">
        <f t="shared" ref="C119:E119" si="50">IF(C115&gt;0,IF(C117=B117,B119,B119+1),B119)</f>
        <v>13</v>
      </c>
      <c r="D119" s="288">
        <f t="shared" si="50"/>
        <v>13</v>
      </c>
      <c r="E119" s="288">
        <f t="shared" si="50"/>
        <v>13</v>
      </c>
      <c r="F119" s="88"/>
      <c r="G119" s="235"/>
      <c r="H119" s="489"/>
      <c r="I119" s="110"/>
      <c r="J119" s="110"/>
      <c r="K119" s="110"/>
      <c r="L119"/>
      <c r="M119" s="489"/>
      <c r="N119" s="489"/>
      <c r="O119" s="489"/>
      <c r="P119" s="489"/>
      <c r="Q119" s="489"/>
      <c r="R119" s="489"/>
      <c r="S119" s="489"/>
      <c r="U119" s="235">
        <f>MAX(11:11,47:47,83:83,B119:E119)</f>
        <v>13</v>
      </c>
    </row>
    <row r="120" spans="1:21" s="234" customFormat="1" ht="9.75" hidden="1" customHeight="1" thickBot="1">
      <c r="A120" s="236" t="s">
        <v>112</v>
      </c>
      <c r="B120" s="286">
        <f>IF(ISERROR(B114-S81),0,IF(OR(B114-S81&lt;7,LEN(B113)&gt;10),0,1))</f>
        <v>0</v>
      </c>
      <c r="C120" s="288">
        <f>IF(ISERROR(C114-B114),0,IF(OR(C114-B114&lt;7,LEN(C113)&gt;10),0,1))</f>
        <v>0</v>
      </c>
      <c r="D120" s="288">
        <f>IF(ISERROR(D114-C114),0,IF(OR(D114-C114&lt;7,LEN(D113)&gt;10),0,1))</f>
        <v>0</v>
      </c>
      <c r="E120" s="288">
        <f>IF(ISERROR(E114-D114),0,IF(OR(E114-D114&lt;7,LEN(E113)&gt;10),0,1))</f>
        <v>0</v>
      </c>
      <c r="F120" s="88"/>
      <c r="G120" s="235"/>
      <c r="H120" s="489"/>
      <c r="I120" s="110"/>
      <c r="J120" s="110"/>
      <c r="K120" s="110"/>
      <c r="L120"/>
      <c r="M120" s="489"/>
      <c r="N120" s="489"/>
      <c r="O120" s="489"/>
      <c r="P120" s="489"/>
      <c r="Q120" s="489"/>
      <c r="R120" s="489"/>
      <c r="S120" s="489"/>
      <c r="U120" s="235">
        <f>SUM(12:12,48:48,84:84,B120:E120)</f>
        <v>26</v>
      </c>
    </row>
    <row r="121" spans="1:21" s="44" customFormat="1" ht="11.5" thickTop="1" thickBot="1">
      <c r="A121" s="63" t="s">
        <v>14</v>
      </c>
      <c r="B121" s="62"/>
      <c r="C121" s="19"/>
      <c r="D121" s="19"/>
      <c r="E121" s="19"/>
      <c r="F121" s="1"/>
      <c r="G121" s="1"/>
      <c r="H121" s="489"/>
      <c r="I121" s="110"/>
      <c r="J121" s="110"/>
      <c r="K121" s="110"/>
      <c r="L121"/>
      <c r="M121" s="489"/>
      <c r="N121" s="489"/>
      <c r="O121" s="489"/>
      <c r="P121" s="489"/>
      <c r="Q121" s="489"/>
      <c r="R121" s="489"/>
      <c r="S121" s="489"/>
      <c r="U121" s="1"/>
    </row>
    <row r="122" spans="1:21" s="44" customFormat="1" ht="7.5" thickTop="1">
      <c r="A122" s="48" t="s">
        <v>23</v>
      </c>
      <c r="B122" s="302"/>
      <c r="C122" s="300"/>
      <c r="D122" s="300"/>
      <c r="E122" s="300"/>
      <c r="F122" s="395"/>
      <c r="H122" s="489"/>
      <c r="I122" s="110"/>
      <c r="J122" s="110"/>
      <c r="K122" s="110"/>
      <c r="L122"/>
      <c r="M122" s="489"/>
      <c r="N122" s="489"/>
      <c r="O122" s="489"/>
      <c r="P122" s="489"/>
      <c r="Q122" s="489"/>
      <c r="R122" s="489"/>
      <c r="S122" s="489"/>
      <c r="U122" s="50">
        <f>SUM(14:14)+SUM(50:50)+SUM(86:86)+SUM(B122:E122)</f>
        <v>325</v>
      </c>
    </row>
    <row r="123" spans="1:21" s="44" customFormat="1">
      <c r="A123" s="51" t="s">
        <v>24</v>
      </c>
      <c r="B123" s="305"/>
      <c r="C123" s="303"/>
      <c r="D123" s="303"/>
      <c r="E123" s="303"/>
      <c r="F123" s="395"/>
      <c r="H123" s="489"/>
      <c r="I123" s="110"/>
      <c r="J123" s="110"/>
      <c r="K123" s="110"/>
      <c r="L123"/>
      <c r="M123" s="489"/>
      <c r="N123" s="489"/>
      <c r="O123" s="489"/>
      <c r="P123" s="489"/>
      <c r="Q123" s="489"/>
      <c r="R123" s="489"/>
      <c r="S123" s="489"/>
      <c r="U123" s="52">
        <f>SUM(15:15)+SUM(51:51)+SUM(87:87)+SUM(B123:E123)</f>
        <v>1480</v>
      </c>
    </row>
    <row r="124" spans="1:21" s="44" customFormat="1" ht="7.5" thickBot="1">
      <c r="A124" s="101" t="s">
        <v>27</v>
      </c>
      <c r="B124" s="308"/>
      <c r="C124" s="306"/>
      <c r="D124" s="306"/>
      <c r="E124" s="306"/>
      <c r="F124" s="395"/>
      <c r="H124" s="489"/>
      <c r="I124" s="110"/>
      <c r="J124" s="110"/>
      <c r="K124" s="110"/>
      <c r="L124"/>
      <c r="M124" s="489"/>
      <c r="N124" s="489"/>
      <c r="O124" s="489"/>
      <c r="P124" s="489"/>
      <c r="Q124" s="489"/>
      <c r="R124" s="489"/>
      <c r="S124" s="489"/>
      <c r="U124" s="102">
        <f>SUM(16:16)+SUM(52:52)+SUM(88:88)+SUM(B124:E124)</f>
        <v>2350</v>
      </c>
    </row>
    <row r="125" spans="1:21" s="44" customFormat="1" ht="11.5" thickTop="1" thickBot="1">
      <c r="A125" s="104" t="s">
        <v>70</v>
      </c>
      <c r="B125" s="52">
        <f>SUM(B122:B124)</f>
        <v>0</v>
      </c>
      <c r="C125" s="67">
        <f>SUM(C122:C124)</f>
        <v>0</v>
      </c>
      <c r="D125" s="67">
        <f>SUM(D122:D124)</f>
        <v>0</v>
      </c>
      <c r="E125" s="67">
        <f>SUM(E122:E124)</f>
        <v>0</v>
      </c>
      <c r="H125" s="489"/>
      <c r="I125" s="110"/>
      <c r="J125" s="110"/>
      <c r="K125" s="110"/>
      <c r="L125"/>
      <c r="M125" s="489"/>
      <c r="N125" s="489"/>
      <c r="O125" s="489"/>
      <c r="P125" s="489"/>
      <c r="Q125" s="489"/>
      <c r="R125" s="489"/>
      <c r="S125" s="489"/>
      <c r="U125" s="52">
        <f>SUM(17:17)+SUM(53:53)+SUM(89:89)+SUM(B125:E125)</f>
        <v>4155</v>
      </c>
    </row>
    <row r="126" spans="1:21" s="44" customFormat="1" ht="11.5" thickTop="1" thickBot="1">
      <c r="A126" s="11" t="s">
        <v>72</v>
      </c>
      <c r="B126" s="259" t="str">
        <f ca="1">IF(OR(LEFT(B113,2)="un",LEFT(B113,1)="(",B125&lt;&gt;0,B139&lt;&gt;0, B113="",B114&gt;NOW()),"","Acct Due")</f>
        <v/>
      </c>
      <c r="C126" s="259" t="str">
        <f ca="1">IF(OR(LEFT(C113,2)="un",LEFT(C113,1)="(",C125&lt;&gt;0,C139&lt;&gt;0, C113="",C114&gt;NOW()),"","Acct Due")</f>
        <v/>
      </c>
      <c r="D126" s="259" t="str">
        <f ca="1">IF(OR(LEFT(D113,2)="un",LEFT(D113,1)="(",D125&lt;&gt;0,D139&lt;&gt;0, D113="",D114&gt;NOW()),"","Acct Due")</f>
        <v/>
      </c>
      <c r="E126" s="259" t="str">
        <f ca="1">IF(OR(LEFT(E113,2)="un",LEFT(E113,1)="(",E125&lt;&gt;0,E139&lt;&gt;0, E113="",E114&gt;NOW()),"","Acct Due")</f>
        <v/>
      </c>
      <c r="F126" s="251"/>
      <c r="G126" s="251"/>
      <c r="H126" s="489"/>
      <c r="I126" s="110"/>
      <c r="J126" s="110"/>
      <c r="K126" s="110"/>
      <c r="L126"/>
      <c r="M126" s="489"/>
      <c r="N126" s="489"/>
      <c r="O126" s="489"/>
      <c r="P126" s="489"/>
      <c r="Q126" s="489"/>
      <c r="R126" s="489"/>
      <c r="S126" s="489"/>
    </row>
    <row r="127" spans="1:21" s="44" customFormat="1" ht="7.5" thickTop="1">
      <c r="A127" s="48" t="s">
        <v>37</v>
      </c>
      <c r="B127" s="302"/>
      <c r="C127" s="300"/>
      <c r="D127" s="300"/>
      <c r="E127" s="300"/>
      <c r="F127" s="395"/>
      <c r="H127" s="489"/>
      <c r="I127" s="110"/>
      <c r="J127" s="110"/>
      <c r="K127" s="110"/>
      <c r="L127"/>
      <c r="M127" s="489"/>
      <c r="N127" s="489"/>
      <c r="O127" s="489"/>
      <c r="P127" s="489"/>
      <c r="Q127" s="489"/>
      <c r="R127" s="489"/>
      <c r="S127" s="489"/>
      <c r="U127" s="50">
        <f t="shared" ref="U127:U132" si="51">SUM(19:19)+SUM(55:55)+SUM(91:91)+SUM(B127:E127)</f>
        <v>321.45</v>
      </c>
    </row>
    <row r="128" spans="1:21" s="44" customFormat="1">
      <c r="A128" s="51" t="s">
        <v>38</v>
      </c>
      <c r="B128" s="305"/>
      <c r="C128" s="303"/>
      <c r="D128" s="303"/>
      <c r="E128" s="303"/>
      <c r="F128" s="395"/>
      <c r="H128" s="489"/>
      <c r="I128" s="110"/>
      <c r="J128" s="110"/>
      <c r="K128" s="110"/>
      <c r="L128"/>
      <c r="M128" s="489"/>
      <c r="N128" s="489"/>
      <c r="O128" s="489"/>
      <c r="P128" s="489"/>
      <c r="Q128" s="489"/>
      <c r="R128" s="489"/>
      <c r="S128" s="489"/>
      <c r="U128" s="52">
        <f t="shared" si="51"/>
        <v>668.82999999999993</v>
      </c>
    </row>
    <row r="129" spans="1:21" s="44" customFormat="1">
      <c r="A129" s="51" t="s">
        <v>39</v>
      </c>
      <c r="B129" s="305"/>
      <c r="C129" s="303"/>
      <c r="D129" s="303"/>
      <c r="E129" s="303"/>
      <c r="F129" s="395"/>
      <c r="H129" s="489"/>
      <c r="I129" s="110"/>
      <c r="J129" s="110"/>
      <c r="K129" s="110"/>
      <c r="L129"/>
      <c r="M129" s="489"/>
      <c r="N129" s="489"/>
      <c r="O129" s="489"/>
      <c r="P129" s="489"/>
      <c r="Q129" s="489"/>
      <c r="R129" s="489"/>
      <c r="S129" s="489"/>
      <c r="U129" s="52">
        <f t="shared" si="51"/>
        <v>0</v>
      </c>
    </row>
    <row r="130" spans="1:21" s="44" customFormat="1">
      <c r="A130" s="53" t="s">
        <v>41</v>
      </c>
      <c r="B130" s="91">
        <f>'OTHER COSTS'!BD82</f>
        <v>0</v>
      </c>
      <c r="C130" s="91"/>
      <c r="D130" s="91"/>
      <c r="E130" s="91"/>
      <c r="H130" s="489"/>
      <c r="I130" s="110"/>
      <c r="J130" s="110"/>
      <c r="K130" s="110"/>
      <c r="L130"/>
      <c r="M130" s="489"/>
      <c r="N130" s="489"/>
      <c r="O130" s="489"/>
      <c r="P130" s="489"/>
      <c r="Q130" s="489"/>
      <c r="R130" s="489"/>
      <c r="S130" s="489"/>
      <c r="U130" s="91">
        <f t="shared" si="51"/>
        <v>71.17</v>
      </c>
    </row>
    <row r="131" spans="1:21" s="44" customFormat="1">
      <c r="A131" s="83" t="s">
        <v>42</v>
      </c>
      <c r="B131" s="47">
        <f>SUM(B127:B130)</f>
        <v>0</v>
      </c>
      <c r="C131" s="43">
        <f>SUM(C127:C130)</f>
        <v>0</v>
      </c>
      <c r="D131" s="43">
        <f>SUM(D127:D130)</f>
        <v>0</v>
      </c>
      <c r="E131" s="43">
        <f>SUM(E127:E130)</f>
        <v>0</v>
      </c>
      <c r="H131" s="489"/>
      <c r="I131" s="110"/>
      <c r="J131" s="110"/>
      <c r="K131" s="110"/>
      <c r="L131"/>
      <c r="M131" s="489"/>
      <c r="N131" s="489"/>
      <c r="O131" s="489"/>
      <c r="P131" s="489"/>
      <c r="Q131" s="489"/>
      <c r="R131" s="489"/>
      <c r="S131" s="489"/>
      <c r="U131" s="47">
        <f t="shared" si="51"/>
        <v>1061.4499999999998</v>
      </c>
    </row>
    <row r="132" spans="1:21" s="44" customFormat="1" ht="7.5" thickBot="1">
      <c r="A132" s="84" t="s">
        <v>83</v>
      </c>
      <c r="B132" s="338"/>
      <c r="C132" s="310"/>
      <c r="D132" s="310"/>
      <c r="E132" s="310"/>
      <c r="H132" s="489"/>
      <c r="I132" s="110"/>
      <c r="J132" s="110"/>
      <c r="K132" s="110"/>
      <c r="L132"/>
      <c r="M132" s="489"/>
      <c r="N132" s="489"/>
      <c r="O132" s="489"/>
      <c r="P132" s="489"/>
      <c r="Q132" s="489"/>
      <c r="R132" s="489"/>
      <c r="S132" s="489"/>
      <c r="U132" s="209">
        <f t="shared" si="51"/>
        <v>356.5</v>
      </c>
    </row>
    <row r="133" spans="1:21" s="44" customFormat="1" ht="11.5" thickTop="1" thickBot="1">
      <c r="A133" s="85" t="s">
        <v>73</v>
      </c>
      <c r="B133" s="74"/>
      <c r="C133" s="317" t="str">
        <f>IF(OR(LEFT(C121,2)="un",C130&lt;&gt;0,C146&lt;&gt;0, C121=""),"","Acct Due")</f>
        <v/>
      </c>
      <c r="D133" s="317" t="str">
        <f>IF(OR(LEFT(D121,2)="un",D130&lt;&gt;0,D146&lt;&gt;0, D121=""),"","Acct Due")</f>
        <v/>
      </c>
      <c r="E133" s="317" t="str">
        <f>IF(OR(LEFT(E121,2)="un",E130&lt;&gt;0,E146&lt;&gt;0, E121=""),"","Acct Due")</f>
        <v/>
      </c>
      <c r="H133" s="489"/>
      <c r="I133" s="110"/>
      <c r="J133" s="110"/>
      <c r="K133" s="110"/>
      <c r="L133"/>
      <c r="M133" s="489"/>
      <c r="N133" s="489"/>
      <c r="O133" s="489"/>
      <c r="P133" s="489"/>
      <c r="Q133" s="489"/>
      <c r="R133" s="489"/>
      <c r="S133" s="489"/>
      <c r="U133" s="69"/>
    </row>
    <row r="134" spans="1:21" s="44" customFormat="1" ht="7.5" thickTop="1">
      <c r="A134" s="48" t="s">
        <v>47</v>
      </c>
      <c r="B134" s="50">
        <f>MAINTENANCE!BE56</f>
        <v>0</v>
      </c>
      <c r="C134" s="50">
        <f>MAINTENANCE!AN93</f>
        <v>0</v>
      </c>
      <c r="D134" s="50">
        <f>MAINTENANCE!AO93</f>
        <v>0</v>
      </c>
      <c r="E134" s="50">
        <f>MAINTENANCE!AP93</f>
        <v>0</v>
      </c>
      <c r="H134" s="489"/>
      <c r="I134" s="110"/>
      <c r="J134" s="110"/>
      <c r="K134" s="110"/>
      <c r="L134"/>
      <c r="M134" s="489"/>
      <c r="N134" s="489"/>
      <c r="O134" s="489"/>
      <c r="P134" s="489"/>
      <c r="Q134" s="489"/>
      <c r="R134" s="489"/>
      <c r="S134" s="489"/>
      <c r="U134" s="50">
        <f t="shared" ref="U134:U139" si="52">SUM(26:26)+SUM(62:62)+SUM(98:98)+SUM(B134:E134)</f>
        <v>590.58000000000004</v>
      </c>
    </row>
    <row r="135" spans="1:21" s="44" customFormat="1">
      <c r="A135" s="51" t="s">
        <v>115</v>
      </c>
      <c r="B135" s="52">
        <f>'OTHER COSTS'!BD41+'OTHER COSTS'!BD48</f>
        <v>0</v>
      </c>
      <c r="C135" s="67">
        <f>'OTHER COSTS'!AM86+'OTHER COSTS'!AM93</f>
        <v>0</v>
      </c>
      <c r="D135" s="67">
        <f>'OTHER COSTS'!AN86+'OTHER COSTS'!AN93</f>
        <v>0</v>
      </c>
      <c r="E135" s="67">
        <f>'OTHER COSTS'!AO86+'OTHER COSTS'!AO93</f>
        <v>0</v>
      </c>
      <c r="H135" s="489"/>
      <c r="I135" s="110"/>
      <c r="J135" s="110"/>
      <c r="K135" s="110"/>
      <c r="L135"/>
      <c r="M135" s="489"/>
      <c r="N135" s="489"/>
      <c r="O135" s="489"/>
      <c r="P135" s="489"/>
      <c r="Q135" s="489"/>
      <c r="R135" s="489"/>
      <c r="S135" s="489"/>
      <c r="U135" s="52">
        <f t="shared" si="52"/>
        <v>1267.75</v>
      </c>
    </row>
    <row r="136" spans="1:21" s="44" customFormat="1">
      <c r="A136" s="694" t="s">
        <v>288</v>
      </c>
      <c r="B136" s="52">
        <f>'OTHER COSTS'!BD59</f>
        <v>0</v>
      </c>
      <c r="C136" s="52">
        <f>'OTHER COSTS'!AM104</f>
        <v>0</v>
      </c>
      <c r="D136" s="52">
        <f>'OTHER COSTS'!AN104</f>
        <v>0</v>
      </c>
      <c r="E136" s="52">
        <f>'OTHER COSTS'!AO104</f>
        <v>0</v>
      </c>
      <c r="H136" s="489"/>
      <c r="I136" s="110"/>
      <c r="J136" s="110"/>
      <c r="K136" s="110"/>
      <c r="L136"/>
      <c r="M136" s="489"/>
      <c r="N136" s="489"/>
      <c r="O136" s="489"/>
      <c r="P136" s="489"/>
      <c r="Q136" s="489"/>
      <c r="R136" s="489"/>
      <c r="S136" s="489"/>
      <c r="U136" s="42">
        <f t="shared" si="52"/>
        <v>4345.2699999999995</v>
      </c>
    </row>
    <row r="137" spans="1:21" s="44" customFormat="1">
      <c r="A137" s="53" t="s">
        <v>49</v>
      </c>
      <c r="B137" s="313"/>
      <c r="C137" s="311"/>
      <c r="D137" s="311"/>
      <c r="E137" s="311"/>
      <c r="F137" s="395"/>
      <c r="H137" s="489"/>
      <c r="I137" s="110"/>
      <c r="J137" s="110"/>
      <c r="K137" s="110"/>
      <c r="L137"/>
      <c r="M137" s="489"/>
      <c r="N137" s="489"/>
      <c r="O137" s="489"/>
      <c r="P137" s="489"/>
      <c r="Q137" s="489"/>
      <c r="R137" s="489"/>
      <c r="S137" s="489"/>
      <c r="U137" s="218">
        <f t="shared" si="52"/>
        <v>2352.0300000000002</v>
      </c>
    </row>
    <row r="138" spans="1:21" s="44" customFormat="1" ht="7.5" thickBot="1">
      <c r="A138" s="83" t="s">
        <v>74</v>
      </c>
      <c r="B138" s="47">
        <f>SUM(B134:B137)</f>
        <v>0</v>
      </c>
      <c r="C138" s="43">
        <f>SUM(C134:C137)</f>
        <v>0</v>
      </c>
      <c r="D138" s="43">
        <f>SUM(D134:D137)</f>
        <v>0</v>
      </c>
      <c r="E138" s="43">
        <f>SUM(E134:E137)</f>
        <v>0</v>
      </c>
      <c r="H138" s="489"/>
      <c r="I138" s="110"/>
      <c r="J138" s="110"/>
      <c r="K138" s="110"/>
      <c r="L138"/>
      <c r="M138" s="489"/>
      <c r="N138" s="489"/>
      <c r="O138" s="489"/>
      <c r="P138" s="489"/>
      <c r="Q138" s="489"/>
      <c r="R138" s="489"/>
      <c r="S138" s="489"/>
      <c r="U138" s="27">
        <f t="shared" si="52"/>
        <v>8555.6299999999992</v>
      </c>
    </row>
    <row r="139" spans="1:21" s="44" customFormat="1" ht="11.5" thickTop="1" thickBot="1">
      <c r="A139" s="257" t="s">
        <v>53</v>
      </c>
      <c r="B139" s="50">
        <f>SUM(B132:B137)+B131</f>
        <v>0</v>
      </c>
      <c r="C139" s="77">
        <f>SUM(C132:C137)+C131</f>
        <v>0</v>
      </c>
      <c r="D139" s="77">
        <f>SUM(D132:D137)+D131</f>
        <v>0</v>
      </c>
      <c r="E139" s="77">
        <f>SUM(E132:E137)+E131</f>
        <v>0</v>
      </c>
      <c r="H139" s="489"/>
      <c r="I139" s="110"/>
      <c r="J139" s="110"/>
      <c r="K139" s="110"/>
      <c r="L139"/>
      <c r="M139" s="489"/>
      <c r="N139" s="489"/>
      <c r="O139" s="489"/>
      <c r="P139" s="489"/>
      <c r="Q139" s="489"/>
      <c r="R139" s="489"/>
      <c r="S139" s="489"/>
      <c r="U139" s="219">
        <f t="shared" si="52"/>
        <v>9973.58</v>
      </c>
    </row>
    <row r="140" spans="1:21" s="44" customFormat="1" ht="8" thickTop="1" thickBot="1">
      <c r="A140" s="261" t="s">
        <v>121</v>
      </c>
      <c r="B140" s="264">
        <f>B125-B139</f>
        <v>0</v>
      </c>
      <c r="C140" s="262">
        <f>C125-C139</f>
        <v>0</v>
      </c>
      <c r="D140" s="262">
        <f>D125-D139</f>
        <v>0</v>
      </c>
      <c r="E140" s="262">
        <f>E125-E139</f>
        <v>0</v>
      </c>
      <c r="F140" s="69"/>
      <c r="G140" s="69"/>
      <c r="I140"/>
      <c r="J140"/>
      <c r="K140"/>
      <c r="L140" s="490"/>
      <c r="U140" s="441">
        <f>SUM(M140:S140)</f>
        <v>0</v>
      </c>
    </row>
    <row r="141" spans="1:21" s="44" customFormat="1" ht="8" thickTop="1" thickBot="1">
      <c r="A141" s="87" t="s">
        <v>120</v>
      </c>
      <c r="B141" s="411" t="str">
        <f>IF(B140=0,"","post bal.")</f>
        <v/>
      </c>
      <c r="C141" s="314" t="str">
        <f>IF(C140=0,"","post bal.")</f>
        <v/>
      </c>
      <c r="D141" s="314" t="str">
        <f>IF(D140=0,"","post bal.")</f>
        <v/>
      </c>
      <c r="E141" s="314" t="str">
        <f>IF(E140=0,"","post bal.")</f>
        <v/>
      </c>
      <c r="F141" s="396"/>
      <c r="G141" s="250"/>
      <c r="L141" s="491"/>
      <c r="M141" s="492"/>
      <c r="N141" s="493"/>
      <c r="O141" s="493"/>
      <c r="P141" s="493"/>
      <c r="Q141" s="493"/>
      <c r="R141" s="493"/>
      <c r="S141" s="493"/>
      <c r="U141" s="181"/>
    </row>
    <row r="142" spans="1:21" s="232" customFormat="1" ht="9.75" hidden="1" customHeight="1" thickTop="1" thickBot="1">
      <c r="A142" s="231" t="s">
        <v>106</v>
      </c>
      <c r="B142" s="233">
        <f>IF(B141="post bal.",B140,0)</f>
        <v>0</v>
      </c>
      <c r="C142" s="233">
        <f>IF(C141="post bal.",C140,0)</f>
        <v>0</v>
      </c>
      <c r="D142" s="233">
        <f>IF(D141="post bal.",D140,0)</f>
        <v>0</v>
      </c>
      <c r="E142" s="233">
        <f>IF(E141="post bal.",E140,0)</f>
        <v>0</v>
      </c>
      <c r="F142" s="233">
        <f>IF(F141="post bal.",F140,0)</f>
        <v>0</v>
      </c>
      <c r="G142" s="233"/>
      <c r="H142" s="233"/>
      <c r="I142" s="233"/>
      <c r="J142" s="233"/>
      <c r="L142" s="233"/>
      <c r="M142" s="233">
        <f t="shared" ref="M142:S142" si="53">IF(M141="post bal.",M140,0)</f>
        <v>0</v>
      </c>
      <c r="N142" s="233">
        <f t="shared" si="53"/>
        <v>0</v>
      </c>
      <c r="O142" s="233">
        <f t="shared" si="53"/>
        <v>0</v>
      </c>
      <c r="P142" s="233">
        <f t="shared" si="53"/>
        <v>0</v>
      </c>
      <c r="Q142" s="233">
        <f t="shared" si="53"/>
        <v>0</v>
      </c>
      <c r="R142" s="233">
        <f t="shared" si="53"/>
        <v>0</v>
      </c>
      <c r="S142" s="233">
        <f t="shared" si="53"/>
        <v>0</v>
      </c>
      <c r="U142" s="232">
        <f>SUM(34:34)+SUM(70:70)+SUM(106:106)+SUM(B142:T142)</f>
        <v>-901.13</v>
      </c>
    </row>
    <row r="143" spans="1:21" s="232" customFormat="1" ht="9.75" hidden="1" customHeight="1" thickTop="1" thickBot="1">
      <c r="A143" s="231" t="s">
        <v>107</v>
      </c>
      <c r="B143" s="232">
        <f>IF(B113="Insurance",B137,0)</f>
        <v>0</v>
      </c>
      <c r="C143" s="232">
        <f>IF(C113="Insurance",C137,0)</f>
        <v>0</v>
      </c>
      <c r="D143" s="232">
        <f>IF(D113="Insurance",D137,0)</f>
        <v>0</v>
      </c>
      <c r="E143" s="232">
        <f>IF(E113="Insurance",E137,0)</f>
        <v>0</v>
      </c>
      <c r="F143" s="232">
        <f>IF(F113="Insurance",F137,0)</f>
        <v>0</v>
      </c>
      <c r="H143" s="232">
        <f>IF(H112="Insurance",H137,0)</f>
        <v>0</v>
      </c>
      <c r="I143" s="232">
        <f>IF(I112="Insurance",I137,0)</f>
        <v>0</v>
      </c>
      <c r="J143" s="232">
        <f>IF(J112="Insurance",J137,0)</f>
        <v>0</v>
      </c>
      <c r="M143" s="232">
        <f>IF(M112="Insurance",M137,0)</f>
        <v>0</v>
      </c>
      <c r="N143" s="232">
        <f>IF(N112="Insurance",N137,0)</f>
        <v>0</v>
      </c>
      <c r="O143" s="232">
        <f>IF(O112="Insurance",O137,0)</f>
        <v>0</v>
      </c>
      <c r="Q143" s="232">
        <f>IF(Q112="Insurance",Q137,0)</f>
        <v>0</v>
      </c>
      <c r="R143" s="232">
        <f>IF(R112="Insurance",R137,0)</f>
        <v>0</v>
      </c>
      <c r="S143" s="232">
        <f>IF(S112="Insurance",S137,0)</f>
        <v>0</v>
      </c>
      <c r="U143" s="239">
        <f>SUM(35:35)+SUM(71:71)+SUM(107:107)+SUM(B143:E143)</f>
        <v>287.91000000000003</v>
      </c>
    </row>
    <row r="144" spans="1:21" s="232" customFormat="1" ht="9.75" hidden="1" customHeight="1" thickTop="1" thickBot="1">
      <c r="A144" s="231" t="s">
        <v>108</v>
      </c>
      <c r="B144" s="232">
        <f>IF(B113="Mooring",B138,0)</f>
        <v>0</v>
      </c>
      <c r="C144" s="232">
        <f>IF(C113="Mooring",C138,0)</f>
        <v>0</v>
      </c>
      <c r="D144" s="232">
        <f>IF(D113="Mooring",D138,0)</f>
        <v>0</v>
      </c>
      <c r="E144" s="232">
        <f>IF(E113="Mooring",E138,0)</f>
        <v>0</v>
      </c>
      <c r="F144" s="232">
        <f>IF(F113="Mooring",F138,0)</f>
        <v>0</v>
      </c>
      <c r="H144" s="232">
        <f>IF(H112="Mooring",#REF!,0)</f>
        <v>0</v>
      </c>
      <c r="I144" s="232">
        <f>IF(I112="Mooring",#REF!,0)</f>
        <v>0</v>
      </c>
      <c r="J144" s="232">
        <f>IF(J112="Mooring",#REF!,0)</f>
        <v>0</v>
      </c>
      <c r="M144" s="232">
        <f>IF(M112="Mooring",#REF!,0)</f>
        <v>0</v>
      </c>
      <c r="N144" s="232">
        <f>IF(N112="Mooring",#REF!,0)</f>
        <v>0</v>
      </c>
      <c r="O144" s="232">
        <f>IF(O112="Mooring",#REF!,0)</f>
        <v>0</v>
      </c>
      <c r="Q144" s="232">
        <f>IF(Q112="Mooring",#REF!,0)</f>
        <v>0</v>
      </c>
      <c r="R144" s="232">
        <f>IF(R112="Mooring",#REF!,0)</f>
        <v>0</v>
      </c>
      <c r="S144" s="232">
        <f>IF(S112="Mooring",#REF!,0)</f>
        <v>0</v>
      </c>
      <c r="U144" s="239">
        <f>SUM(36:36)+SUM(72:72)+SUM(108:108)+SUM(B144:E144)</f>
        <v>846.37</v>
      </c>
    </row>
    <row r="145" spans="1:21" s="232" customFormat="1" ht="9.75" hidden="1" customHeight="1" thickTop="1" thickBot="1">
      <c r="A145" s="231" t="s">
        <v>109</v>
      </c>
      <c r="B145" s="232">
        <f>IF(B113="Licence",B139,0)</f>
        <v>0</v>
      </c>
      <c r="C145" s="232">
        <f>IF(C113="Licence",C139,0)</f>
        <v>0</v>
      </c>
      <c r="D145" s="232">
        <f>IF(D113="Licence",D139,0)</f>
        <v>0</v>
      </c>
      <c r="E145" s="232">
        <f>IF(E113="Licence",E139,0)</f>
        <v>0</v>
      </c>
      <c r="F145" s="232">
        <f>IF(F113="Licence",F139,0)</f>
        <v>0</v>
      </c>
      <c r="H145" s="232">
        <f>IF(H112="Licence",#REF!,0)</f>
        <v>0</v>
      </c>
      <c r="I145" s="232">
        <f>IF(I112="Licence",#REF!,0)</f>
        <v>0</v>
      </c>
      <c r="J145" s="232">
        <f>IF(J112="Licence",#REF!,0)</f>
        <v>0</v>
      </c>
      <c r="M145" s="232">
        <f>IF(M112="Licence",#REF!,0)</f>
        <v>0</v>
      </c>
      <c r="N145" s="232">
        <f>IF(N112="Licence",#REF!,0)</f>
        <v>0</v>
      </c>
      <c r="O145" s="232">
        <f>IF(O112="Licence",#REF!,0)</f>
        <v>0</v>
      </c>
      <c r="Q145" s="232">
        <f>IF(Q112="Licence",#REF!,0)</f>
        <v>0</v>
      </c>
      <c r="R145" s="232">
        <f>IF(R112="Licence",#REF!,0)</f>
        <v>0</v>
      </c>
      <c r="S145" s="232">
        <f>IF(S112="Licence",#REF!,0)</f>
        <v>0</v>
      </c>
      <c r="U145" s="239">
        <f>SUM(37:37)+SUM(73:73)+SUM(109:109)+SUM(B145:E145)</f>
        <v>1217.75</v>
      </c>
    </row>
    <row r="146" spans="1:21" s="241" customFormat="1" ht="9.75" hidden="1" customHeight="1" thickTop="1" thickBot="1">
      <c r="A146" s="240" t="s">
        <v>110</v>
      </c>
      <c r="B146" s="241">
        <f>B137-SUM(B143:B145)</f>
        <v>0</v>
      </c>
      <c r="C146" s="241">
        <f>C137-SUM(C143:C145)</f>
        <v>0</v>
      </c>
      <c r="D146" s="241">
        <f>D137-SUM(D143:D145)</f>
        <v>0</v>
      </c>
      <c r="E146" s="241">
        <f t="shared" ref="E146:J146" si="54">E137-SUM(E143:E145)</f>
        <v>0</v>
      </c>
      <c r="F146" s="241">
        <f t="shared" si="54"/>
        <v>0</v>
      </c>
      <c r="H146" s="241">
        <f t="shared" si="54"/>
        <v>0</v>
      </c>
      <c r="I146" s="241">
        <f t="shared" si="54"/>
        <v>0</v>
      </c>
      <c r="J146" s="241">
        <f t="shared" si="54"/>
        <v>0</v>
      </c>
      <c r="M146" s="241">
        <f t="shared" ref="M146:S146" si="55">M137-SUM(M143:M145)</f>
        <v>0</v>
      </c>
      <c r="N146" s="241">
        <f t="shared" si="55"/>
        <v>0</v>
      </c>
      <c r="O146" s="241">
        <f t="shared" si="55"/>
        <v>0</v>
      </c>
      <c r="Q146" s="241">
        <f t="shared" si="55"/>
        <v>0</v>
      </c>
      <c r="R146" s="241">
        <f t="shared" si="55"/>
        <v>0</v>
      </c>
      <c r="S146" s="241">
        <f t="shared" si="55"/>
        <v>0</v>
      </c>
      <c r="U146" s="241">
        <f>SUM(38:38)+SUM(74:74)+SUM(110:110)+SUM(B146:E146)</f>
        <v>0</v>
      </c>
    </row>
    <row r="147" spans="1:21" s="44" customFormat="1" ht="7.5" thickTop="1">
      <c r="B147" s="1"/>
      <c r="C147" s="1"/>
      <c r="D147" s="1"/>
      <c r="E147" s="1"/>
      <c r="F147" s="1"/>
      <c r="G147" s="1"/>
      <c r="H147" s="1"/>
      <c r="I147" s="1"/>
    </row>
    <row r="148" spans="1:21" s="44" customFormat="1">
      <c r="S148" s="44">
        <f>+SUM(I148:Q148)</f>
        <v>0</v>
      </c>
    </row>
    <row r="149" spans="1:21" s="44" customFormat="1">
      <c r="S149" s="44">
        <f>SUM(J149:Q149)</f>
        <v>0</v>
      </c>
    </row>
    <row r="150" spans="1:21" s="44" customFormat="1"/>
    <row r="151" spans="1:21" s="44" customFormat="1"/>
    <row r="152" spans="1:21" s="44" customFormat="1"/>
  </sheetData>
  <mergeCells count="1">
    <mergeCell ref="A1:A3"/>
  </mergeCells>
  <phoneticPr fontId="9" type="noConversion"/>
  <pageMargins left="0.35433070866141736" right="0.35433070866141736" top="0.27559055118110237" bottom="0.27559055118110237" header="0.27559055118110237" footer="0.27559055118110237"/>
  <pageSetup paperSize="9" scale="90" orientation="landscape" verticalDpi="4" r:id="rId1"/>
  <headerFooter alignWithMargins="0">
    <oddHeader xml:space="preserve">&amp;R&amp;"Arial,Bold"&amp;20 </oddHeader>
    <oddFooter>&amp;CPage &amp;P of &amp;N</oddFooter>
  </headerFooter>
  <rowBreaks count="1" manualBreakCount="1">
    <brk id="74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T91"/>
  <sheetViews>
    <sheetView showZeros="0" workbookViewId="0">
      <pane xSplit="2" ySplit="4" topLeftCell="C5" activePane="bottomRight" state="frozen"/>
      <selection activeCell="R6" sqref="R6"/>
      <selection pane="topRight" activeCell="R6" sqref="R6"/>
      <selection pane="bottomLeft" activeCell="R6" sqref="R6"/>
      <selection pane="bottomRight" activeCell="H8" sqref="H8"/>
    </sheetView>
  </sheetViews>
  <sheetFormatPr defaultRowHeight="7"/>
  <cols>
    <col min="1" max="1" width="3.33203125" style="110" customWidth="1"/>
    <col min="2" max="2" width="77.6640625" style="110" customWidth="1"/>
    <col min="3" max="69" width="11" customWidth="1"/>
    <col min="70" max="70" width="6.6640625" customWidth="1"/>
    <col min="71" max="71" width="9.6640625" customWidth="1"/>
  </cols>
  <sheetData>
    <row r="1" spans="1:72" s="1" customFormat="1" ht="32.5">
      <c r="A1"/>
      <c r="B1" s="704" t="str">
        <f>Summary!$A$2</f>
        <v>OLYMPIC 2022 FINAL ACCOUNTS</v>
      </c>
      <c r="BR1" s="211" t="str">
        <f>Summary!$T$2</f>
        <v>21 February 2023</v>
      </c>
    </row>
    <row r="2" spans="1:72" s="1" customFormat="1" ht="35.5" thickBot="1">
      <c r="A2"/>
      <c r="B2" s="190" t="s">
        <v>93</v>
      </c>
      <c r="S2" s="191"/>
    </row>
    <row r="3" spans="1:72" ht="11.5" thickTop="1" thickBot="1">
      <c r="A3"/>
      <c r="B3" s="289" t="s">
        <v>47</v>
      </c>
      <c r="C3" s="245" t="str">
        <f>TRIP_ACCOUNTS!B$5</f>
        <v>Insurance</v>
      </c>
      <c r="D3" s="13" t="str">
        <f>TRIP_ACCOUNTS!C$5</f>
        <v>Licence</v>
      </c>
      <c r="E3" s="13" t="str">
        <f>TRIP_ACCOUNTS!D$5</f>
        <v>Mooring</v>
      </c>
      <c r="F3" s="13" t="str">
        <f>TRIP_ACCOUNTS!E$5</f>
        <v>Kings Lock</v>
      </c>
      <c r="G3" s="13" t="str">
        <f>TRIP_ACCOUNTS!F$5</f>
        <v>J &amp; T Martin</v>
      </c>
      <c r="H3" s="13" t="str">
        <f>TRIP_ACCOUNTS!G$5</f>
        <v>Kee</v>
      </c>
      <c r="I3" s="13" t="str">
        <f>TRIP_ACCOUNTS!H$5</f>
        <v>Fisher</v>
      </c>
      <c r="J3" s="13" t="str">
        <f>TRIP_ACCOUNTS!I$5</f>
        <v>Atlass</v>
      </c>
      <c r="K3" s="13" t="str">
        <f>TRIP_ACCOUNTS!J$5</f>
        <v>Patricia</v>
      </c>
      <c r="L3" s="13" t="str">
        <f>TRIP_ACCOUNTS!K$5</f>
        <v>2023 licence</v>
      </c>
      <c r="M3" s="13" t="str">
        <f>TRIP_ACCOUNTS!L$5</f>
        <v>Kee</v>
      </c>
      <c r="N3" s="13" t="str">
        <f>TRIP_ACCOUNTS!M$5</f>
        <v>Kee</v>
      </c>
      <c r="O3" s="13" t="str">
        <f>TRIP_ACCOUNTS!N$5</f>
        <v>Kee</v>
      </c>
      <c r="P3" s="13">
        <f>TRIP_ACCOUNTS!O$5</f>
        <v>0</v>
      </c>
      <c r="Q3" s="13">
        <f>TRIP_ACCOUNTS!P$5</f>
        <v>0</v>
      </c>
      <c r="R3" s="13">
        <f>TRIP_ACCOUNTS!Q$5</f>
        <v>0</v>
      </c>
      <c r="S3" s="13">
        <f>TRIP_ACCOUNTS!R$5</f>
        <v>0</v>
      </c>
      <c r="T3" s="13">
        <f>TRIP_ACCOUNTS!S$5</f>
        <v>0</v>
      </c>
      <c r="U3" s="13" t="str">
        <f>TRIP_ACCOUNTS!B41</f>
        <v>unscheduled</v>
      </c>
      <c r="V3" s="13" t="str">
        <f>TRIP_ACCOUNTS!C41</f>
        <v>James</v>
      </c>
      <c r="W3" s="13" t="str">
        <f>TRIP_ACCOUNTS!D41</f>
        <v>Kee</v>
      </c>
      <c r="X3" s="13" t="str">
        <f>TRIP_ACCOUNTS!E41</f>
        <v>unscheduled</v>
      </c>
      <c r="Y3" s="13" t="str">
        <f>TRIP_ACCOUNTS!F41</f>
        <v>Phil</v>
      </c>
      <c r="Z3" s="13" t="str">
        <f>TRIP_ACCOUNTS!G41</f>
        <v>Atlass</v>
      </c>
      <c r="AA3" s="13" t="str">
        <f>TRIP_ACCOUNTS!H41</f>
        <v>James</v>
      </c>
      <c r="AB3" s="13" t="str">
        <f>TRIP_ACCOUNTS!I41</f>
        <v>unscheduled</v>
      </c>
      <c r="AC3" s="13" t="str">
        <f>TRIP_ACCOUNTS!J41</f>
        <v>unscheduled</v>
      </c>
      <c r="AD3" s="13" t="str">
        <f>TRIP_ACCOUNTS!K41</f>
        <v>unscheduled</v>
      </c>
      <c r="AE3" s="13" t="str">
        <f>TRIP_ACCOUNTS!L41</f>
        <v>unscheduled</v>
      </c>
      <c r="AF3" s="13" t="str">
        <f>TRIP_ACCOUNTS!M41</f>
        <v>Phil</v>
      </c>
      <c r="AG3" s="13" t="str">
        <f>TRIP_ACCOUNTS!N41</f>
        <v>Atlass</v>
      </c>
      <c r="AH3" s="13" t="str">
        <f>TRIP_ACCOUNTS!O41</f>
        <v>unscheduled</v>
      </c>
      <c r="AI3" s="13" t="str">
        <f>TRIP_ACCOUNTS!P41</f>
        <v>unscheduled</v>
      </c>
      <c r="AJ3" s="13" t="str">
        <f>TRIP_ACCOUNTS!Q41</f>
        <v>Martin</v>
      </c>
      <c r="AK3" s="13" t="str">
        <f>TRIP_ACCOUNTS!R41</f>
        <v>unscheduled</v>
      </c>
      <c r="AL3" s="13" t="str">
        <f>TRIP_ACCOUNTS!S41</f>
        <v>Kee</v>
      </c>
      <c r="AM3" s="652" t="str">
        <f>TRIP_ACCOUNTS!B77</f>
        <v>unscheduled</v>
      </c>
      <c r="AN3" s="13" t="str">
        <f>TRIP_ACCOUNTS!C77</f>
        <v>James</v>
      </c>
      <c r="AO3" s="13" t="str">
        <f>TRIP_ACCOUNTS!D77</f>
        <v>unscheduled</v>
      </c>
      <c r="AP3" s="13" t="str">
        <f>TRIP_ACCOUNTS!E77</f>
        <v>unscheduled</v>
      </c>
      <c r="AQ3" s="13" t="str">
        <f>TRIP_ACCOUNTS!F77</f>
        <v>Atlass</v>
      </c>
      <c r="AR3" s="13" t="str">
        <f>TRIP_ACCOUNTS!G77</f>
        <v>unscheduled</v>
      </c>
      <c r="AS3" s="13" t="str">
        <f>TRIP_ACCOUNTS!H77</f>
        <v>unscheduled</v>
      </c>
      <c r="AT3" s="13" t="str">
        <f>TRIP_ACCOUNTS!I77</f>
        <v>unscheduled</v>
      </c>
      <c r="AU3" s="13" t="str">
        <f>TRIP_ACCOUNTS!J77</f>
        <v>Brough</v>
      </c>
      <c r="AV3" s="13" t="str">
        <f>TRIP_ACCOUNTS!K77</f>
        <v>unscheduled</v>
      </c>
      <c r="AW3" s="13" t="str">
        <f>TRIP_ACCOUNTS!L77</f>
        <v>unscheduled</v>
      </c>
      <c r="AX3" s="13" t="str">
        <f>TRIP_ACCOUNTS!M77</f>
        <v>unscheduled</v>
      </c>
      <c r="AY3" s="13" t="str">
        <f>TRIP_ACCOUNTS!N77</f>
        <v>unscheduled</v>
      </c>
      <c r="AZ3" s="13" t="str">
        <f>TRIP_ACCOUNTS!O77</f>
        <v>unscheduled</v>
      </c>
      <c r="BA3" s="13" t="str">
        <f>TRIP_ACCOUNTS!P77</f>
        <v>unscheduled</v>
      </c>
      <c r="BB3" s="13" t="str">
        <f>TRIP_ACCOUNTS!Q77</f>
        <v>Kee</v>
      </c>
      <c r="BC3" s="13" t="str">
        <f>TRIP_ACCOUNTS!R77</f>
        <v>unscheduled</v>
      </c>
      <c r="BD3" s="13" t="str">
        <f>TRIP_ACCOUNTS!S77</f>
        <v>unscheduled</v>
      </c>
      <c r="BE3" s="13" t="str">
        <f>TRIP_ACCOUNTS!B113</f>
        <v>unscheduled</v>
      </c>
      <c r="BF3" s="13" t="str">
        <f>TRIP_ACCOUNTS!C113</f>
        <v>unscheduled</v>
      </c>
      <c r="BG3" s="13" t="str">
        <f>TRIP_ACCOUNTS!D113</f>
        <v>unscheduled</v>
      </c>
      <c r="BH3" s="13" t="str">
        <f>TRIP_ACCOUNTS!E113</f>
        <v>unscheduled</v>
      </c>
      <c r="BI3" s="18">
        <f>TRIP_ACCOUNTS!F113</f>
        <v>0</v>
      </c>
      <c r="BJ3" s="18">
        <f>TRIP_ACCOUNTS!G$113</f>
        <v>0</v>
      </c>
      <c r="BK3" s="18">
        <f>TRIP_ACCOUNTS!H$112</f>
        <v>0</v>
      </c>
      <c r="BL3" s="18">
        <f>TRIP_ACCOUNTS!I$112</f>
        <v>0</v>
      </c>
      <c r="BM3" s="18">
        <f>TRIP_ACCOUNTS!J$112</f>
        <v>0</v>
      </c>
      <c r="BN3" s="18">
        <f>TRIP_ACCOUNTS!L$112</f>
        <v>0</v>
      </c>
      <c r="BO3" s="18">
        <f>TRIP_ACCOUNTS!M$112</f>
        <v>0</v>
      </c>
      <c r="BP3" s="18">
        <f>TRIP_ACCOUNTS!N$112</f>
        <v>0</v>
      </c>
      <c r="BQ3" s="60"/>
      <c r="BR3" s="14"/>
      <c r="BS3" s="14"/>
      <c r="BT3" s="14"/>
    </row>
    <row r="4" spans="1:72" ht="8" thickTop="1" thickBot="1">
      <c r="A4"/>
      <c r="B4" s="290"/>
      <c r="C4" s="246">
        <f>TRIP_ACCOUNTS!B$6</f>
        <v>44591</v>
      </c>
      <c r="D4" s="154">
        <f>TRIP_ACCOUNTS!C$6</f>
        <v>0</v>
      </c>
      <c r="E4" s="154">
        <f>TRIP_ACCOUNTS!D$6</f>
        <v>44854</v>
      </c>
      <c r="F4" s="154">
        <f>TRIP_ACCOUNTS!E$6</f>
        <v>44673</v>
      </c>
      <c r="G4" s="154">
        <f>TRIP_ACCOUNTS!F$6</f>
        <v>44677</v>
      </c>
      <c r="H4" s="154">
        <f>TRIP_ACCOUNTS!G$6</f>
        <v>2</v>
      </c>
      <c r="I4" s="154">
        <f>TRIP_ACCOUNTS!H$6</f>
        <v>44786</v>
      </c>
      <c r="J4" s="154">
        <f>TRIP_ACCOUNTS!I$6</f>
        <v>44784</v>
      </c>
      <c r="K4" s="154">
        <f>TRIP_ACCOUNTS!J$6</f>
        <v>44967</v>
      </c>
      <c r="L4" s="154">
        <f>TRIP_ACCOUNTS!K$6</f>
        <v>0</v>
      </c>
      <c r="M4" s="154">
        <f>TRIP_ACCOUNTS!L$6</f>
        <v>44896</v>
      </c>
      <c r="N4" s="154">
        <f>TRIP_ACCOUNTS!M$6</f>
        <v>45283</v>
      </c>
      <c r="O4" s="154">
        <f>TRIP_ACCOUNTS!N$6</f>
        <v>45234</v>
      </c>
      <c r="P4" s="154">
        <f>TRIP_ACCOUNTS!O$6</f>
        <v>0</v>
      </c>
      <c r="Q4" s="154">
        <f>TRIP_ACCOUNTS!P$6</f>
        <v>0</v>
      </c>
      <c r="R4" s="154">
        <f>TRIP_ACCOUNTS!Q$6</f>
        <v>0</v>
      </c>
      <c r="S4" s="154">
        <f>TRIP_ACCOUNTS!R$6</f>
        <v>0</v>
      </c>
      <c r="T4" s="154">
        <f>TRIP_ACCOUNTS!S$6</f>
        <v>0</v>
      </c>
      <c r="U4" s="154">
        <f>TRIP_ACCOUNTS!B42</f>
        <v>44686</v>
      </c>
      <c r="V4" s="154">
        <f>TRIP_ACCOUNTS!C42</f>
        <v>44693</v>
      </c>
      <c r="W4" s="154">
        <f>TRIP_ACCOUNTS!D42</f>
        <v>44700</v>
      </c>
      <c r="X4" s="154">
        <f>TRIP_ACCOUNTS!E42</f>
        <v>44707</v>
      </c>
      <c r="Y4" s="154">
        <f>TRIP_ACCOUNTS!F42</f>
        <v>44714</v>
      </c>
      <c r="Z4" s="154">
        <f>TRIP_ACCOUNTS!G42</f>
        <v>44721</v>
      </c>
      <c r="AA4" s="154">
        <f>TRIP_ACCOUNTS!H42</f>
        <v>44728</v>
      </c>
      <c r="AB4" s="154">
        <f>TRIP_ACCOUNTS!I42</f>
        <v>44735</v>
      </c>
      <c r="AC4" s="154">
        <f>TRIP_ACCOUNTS!J42</f>
        <v>44742</v>
      </c>
      <c r="AD4" s="154">
        <f>TRIP_ACCOUNTS!K42</f>
        <v>44749</v>
      </c>
      <c r="AE4" s="154">
        <f>TRIP_ACCOUNTS!L42</f>
        <v>44756</v>
      </c>
      <c r="AF4" s="154">
        <f>TRIP_ACCOUNTS!M42</f>
        <v>44763</v>
      </c>
      <c r="AG4" s="154">
        <f>TRIP_ACCOUNTS!N42</f>
        <v>44770</v>
      </c>
      <c r="AH4" s="154">
        <f>TRIP_ACCOUNTS!O42</f>
        <v>44777</v>
      </c>
      <c r="AI4" s="154">
        <f>TRIP_ACCOUNTS!P42</f>
        <v>44784</v>
      </c>
      <c r="AJ4" s="154">
        <f>TRIP_ACCOUNTS!Q42</f>
        <v>44791</v>
      </c>
      <c r="AK4" s="154">
        <f>TRIP_ACCOUNTS!R42</f>
        <v>44798</v>
      </c>
      <c r="AL4" s="154">
        <f>TRIP_ACCOUNTS!S42</f>
        <v>44805</v>
      </c>
      <c r="AM4" s="154">
        <f>TRIP_ACCOUNTS!B78</f>
        <v>44812</v>
      </c>
      <c r="AN4" s="154">
        <f>TRIP_ACCOUNTS!C78</f>
        <v>44819</v>
      </c>
      <c r="AO4" s="154">
        <f>TRIP_ACCOUNTS!D78</f>
        <v>44826</v>
      </c>
      <c r="AP4" s="154">
        <f>TRIP_ACCOUNTS!E78</f>
        <v>44833</v>
      </c>
      <c r="AQ4" s="154">
        <f>TRIP_ACCOUNTS!F78</f>
        <v>44840</v>
      </c>
      <c r="AR4" s="154">
        <f>TRIP_ACCOUNTS!G78</f>
        <v>44847</v>
      </c>
      <c r="AS4" s="154">
        <f>TRIP_ACCOUNTS!H78</f>
        <v>44854</v>
      </c>
      <c r="AT4" s="154">
        <f>TRIP_ACCOUNTS!I78</f>
        <v>44861</v>
      </c>
      <c r="AU4" s="154">
        <f>TRIP_ACCOUNTS!J78</f>
        <v>44868</v>
      </c>
      <c r="AV4" s="154">
        <f>TRIP_ACCOUNTS!K78</f>
        <v>44875</v>
      </c>
      <c r="AW4" s="154">
        <f>TRIP_ACCOUNTS!L78</f>
        <v>44882</v>
      </c>
      <c r="AX4" s="154">
        <f>TRIP_ACCOUNTS!M78</f>
        <v>44889</v>
      </c>
      <c r="AY4" s="154">
        <f>TRIP_ACCOUNTS!N78</f>
        <v>44896</v>
      </c>
      <c r="AZ4" s="154">
        <f>TRIP_ACCOUNTS!O78</f>
        <v>44903</v>
      </c>
      <c r="BA4" s="154">
        <f>TRIP_ACCOUNTS!P78</f>
        <v>44910</v>
      </c>
      <c r="BB4" s="154">
        <f>TRIP_ACCOUNTS!Q78</f>
        <v>44917</v>
      </c>
      <c r="BC4" s="154">
        <f>TRIP_ACCOUNTS!R78</f>
        <v>44924</v>
      </c>
      <c r="BD4" s="154">
        <f>TRIP_ACCOUNTS!S78</f>
        <v>44553</v>
      </c>
      <c r="BE4" s="154">
        <f>TRIP_ACCOUNTS!B114</f>
        <v>44560</v>
      </c>
      <c r="BF4" s="154">
        <f>TRIP_ACCOUNTS!C114</f>
        <v>44567</v>
      </c>
      <c r="BG4" s="154">
        <f>TRIP_ACCOUNTS!D114</f>
        <v>44574</v>
      </c>
      <c r="BH4" s="154">
        <f>TRIP_ACCOUNTS!E114</f>
        <v>44581</v>
      </c>
      <c r="BI4" s="153">
        <f>TRIP_ACCOUNTS!F114</f>
        <v>0</v>
      </c>
      <c r="BJ4" s="153">
        <f>TRIP_ACCOUNTS!G$114</f>
        <v>0</v>
      </c>
      <c r="BK4" s="153">
        <f>TRIP_ACCOUNTS!H$113</f>
        <v>0</v>
      </c>
      <c r="BL4" s="153">
        <f>TRIP_ACCOUNTS!I$113</f>
        <v>0</v>
      </c>
      <c r="BM4" s="153">
        <f>TRIP_ACCOUNTS!J$113</f>
        <v>0</v>
      </c>
      <c r="BN4" s="153">
        <f>TRIP_ACCOUNTS!K$113</f>
        <v>0</v>
      </c>
      <c r="BO4" s="153">
        <f>TRIP_ACCOUNTS!M$113</f>
        <v>0</v>
      </c>
      <c r="BP4" s="153">
        <f>TRIP_ACCOUNTS!N$113</f>
        <v>0</v>
      </c>
      <c r="BQ4" s="155"/>
      <c r="BR4" s="14"/>
      <c r="BS4" s="14"/>
      <c r="BT4" s="156" t="s">
        <v>71</v>
      </c>
    </row>
    <row r="5" spans="1:72" s="253" customFormat="1" ht="7.5" thickTop="1">
      <c r="A5" s="446">
        <v>5</v>
      </c>
      <c r="B5" s="728" t="s">
        <v>202</v>
      </c>
      <c r="C5" s="380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>
        <v>165</v>
      </c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  <c r="BD5" s="381"/>
      <c r="BE5" s="381"/>
      <c r="BF5" s="381"/>
      <c r="BG5" s="381"/>
      <c r="BH5" s="381"/>
      <c r="BI5" s="381"/>
      <c r="BJ5" s="319"/>
      <c r="BK5" s="319"/>
      <c r="BL5" s="319"/>
      <c r="BM5" s="319"/>
      <c r="BN5" s="319"/>
      <c r="BO5" s="319"/>
      <c r="BP5" s="319"/>
      <c r="BQ5" s="320"/>
      <c r="BR5" s="28"/>
      <c r="BS5" s="28"/>
      <c r="BT5" s="33">
        <f t="shared" ref="BT5:BT25" si="0">SUM(D5:BP5)</f>
        <v>165</v>
      </c>
    </row>
    <row r="6" spans="1:72" s="253" customFormat="1">
      <c r="A6" s="445">
        <v>8</v>
      </c>
      <c r="B6" s="503" t="s">
        <v>203</v>
      </c>
      <c r="C6" s="382"/>
      <c r="D6" s="383"/>
      <c r="E6" s="383"/>
      <c r="F6" s="383"/>
      <c r="G6" s="383">
        <v>18.25</v>
      </c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3"/>
      <c r="AN6" s="383"/>
      <c r="AO6" s="383"/>
      <c r="AP6" s="383"/>
      <c r="AQ6" s="383"/>
      <c r="AR6" s="383"/>
      <c r="AS6" s="383"/>
      <c r="AT6" s="383"/>
      <c r="AU6" s="383"/>
      <c r="AV6" s="383"/>
      <c r="AW6" s="383"/>
      <c r="AX6" s="383"/>
      <c r="AY6" s="383"/>
      <c r="AZ6" s="383"/>
      <c r="BA6" s="383"/>
      <c r="BB6" s="383"/>
      <c r="BC6" s="383"/>
      <c r="BD6" s="383"/>
      <c r="BE6" s="383"/>
      <c r="BF6" s="383"/>
      <c r="BG6" s="383"/>
      <c r="BH6" s="383"/>
      <c r="BI6" s="383"/>
      <c r="BJ6" s="321"/>
      <c r="BK6" s="321"/>
      <c r="BL6" s="321"/>
      <c r="BM6" s="321"/>
      <c r="BN6" s="321"/>
      <c r="BO6" s="321"/>
      <c r="BP6" s="321"/>
      <c r="BQ6" s="322"/>
      <c r="BR6" s="28"/>
      <c r="BS6" s="28"/>
      <c r="BT6" s="33">
        <f t="shared" si="0"/>
        <v>18.25</v>
      </c>
    </row>
    <row r="7" spans="1:72" s="253" customFormat="1">
      <c r="A7" s="444">
        <v>18</v>
      </c>
      <c r="B7" s="503" t="s">
        <v>258</v>
      </c>
      <c r="C7" s="382"/>
      <c r="D7" s="383"/>
      <c r="E7" s="383"/>
      <c r="F7" s="383"/>
      <c r="G7" s="383"/>
      <c r="H7" s="383"/>
      <c r="I7" s="383"/>
      <c r="J7" s="383">
        <v>113.37</v>
      </c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>
        <v>3.9</v>
      </c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3"/>
      <c r="AN7" s="383"/>
      <c r="AO7" s="383"/>
      <c r="AP7" s="383"/>
      <c r="AQ7" s="383"/>
      <c r="AR7" s="383"/>
      <c r="AS7" s="383"/>
      <c r="AT7" s="383"/>
      <c r="AU7" s="383"/>
      <c r="AV7" s="383"/>
      <c r="AW7" s="383"/>
      <c r="AX7" s="383"/>
      <c r="AY7" s="383"/>
      <c r="AZ7" s="383"/>
      <c r="BA7" s="383"/>
      <c r="BB7" s="383"/>
      <c r="BC7" s="383"/>
      <c r="BD7" s="383"/>
      <c r="BE7" s="383"/>
      <c r="BF7" s="383"/>
      <c r="BG7" s="383"/>
      <c r="BH7" s="383"/>
      <c r="BI7" s="383"/>
      <c r="BJ7" s="321"/>
      <c r="BK7" s="321"/>
      <c r="BL7" s="321"/>
      <c r="BM7" s="321"/>
      <c r="BN7" s="321"/>
      <c r="BO7" s="321"/>
      <c r="BP7" s="321"/>
      <c r="BQ7" s="322"/>
      <c r="BR7" s="729"/>
      <c r="BS7" s="729"/>
      <c r="BT7" s="33">
        <f t="shared" ref="BT7" si="1">SUM(D7:BP7)</f>
        <v>117.27000000000001</v>
      </c>
    </row>
    <row r="8" spans="1:72" s="253" customFormat="1">
      <c r="A8" s="444">
        <v>11</v>
      </c>
      <c r="B8" s="503" t="s">
        <v>204</v>
      </c>
      <c r="C8" s="382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  <c r="AM8" s="383"/>
      <c r="AN8" s="383"/>
      <c r="AO8" s="383"/>
      <c r="AP8" s="383"/>
      <c r="AQ8" s="383"/>
      <c r="AR8" s="383"/>
      <c r="AS8" s="383"/>
      <c r="AT8" s="383"/>
      <c r="AU8" s="383"/>
      <c r="AV8" s="383"/>
      <c r="AW8" s="383"/>
      <c r="AX8" s="383"/>
      <c r="AY8" s="383"/>
      <c r="AZ8" s="383"/>
      <c r="BA8" s="383"/>
      <c r="BB8" s="383"/>
      <c r="BC8" s="383"/>
      <c r="BD8" s="383"/>
      <c r="BE8" s="383"/>
      <c r="BF8" s="383"/>
      <c r="BG8" s="383"/>
      <c r="BH8" s="383"/>
      <c r="BI8" s="383"/>
      <c r="BJ8" s="321"/>
      <c r="BK8" s="321"/>
      <c r="BL8" s="321"/>
      <c r="BM8" s="321"/>
      <c r="BN8" s="321"/>
      <c r="BO8" s="321"/>
      <c r="BP8" s="321"/>
      <c r="BQ8" s="322"/>
      <c r="BR8" s="28"/>
      <c r="BS8" s="28"/>
      <c r="BT8" s="33">
        <f t="shared" si="0"/>
        <v>0</v>
      </c>
    </row>
    <row r="9" spans="1:72" s="253" customFormat="1">
      <c r="A9" s="444">
        <v>12</v>
      </c>
      <c r="B9" s="503" t="s">
        <v>205</v>
      </c>
      <c r="C9" s="382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  <c r="AM9" s="383"/>
      <c r="AN9" s="383"/>
      <c r="AO9" s="383"/>
      <c r="AP9" s="383"/>
      <c r="AQ9" s="383"/>
      <c r="AR9" s="383"/>
      <c r="AS9" s="383"/>
      <c r="AT9" s="383"/>
      <c r="AU9" s="383"/>
      <c r="AV9" s="383"/>
      <c r="AW9" s="383"/>
      <c r="AX9" s="383"/>
      <c r="AY9" s="383"/>
      <c r="AZ9" s="383"/>
      <c r="BA9" s="383"/>
      <c r="BB9" s="383"/>
      <c r="BC9" s="383"/>
      <c r="BD9" s="383"/>
      <c r="BE9" s="383"/>
      <c r="BF9" s="383"/>
      <c r="BG9" s="383"/>
      <c r="BH9" s="383"/>
      <c r="BI9" s="383"/>
      <c r="BJ9" s="321"/>
      <c r="BK9" s="321"/>
      <c r="BL9" s="321"/>
      <c r="BM9" s="321"/>
      <c r="BN9" s="321"/>
      <c r="BO9" s="321"/>
      <c r="BP9" s="321"/>
      <c r="BQ9" s="322"/>
      <c r="BR9" s="28"/>
      <c r="BS9" s="28"/>
      <c r="BT9" s="33">
        <f t="shared" si="0"/>
        <v>0</v>
      </c>
    </row>
    <row r="10" spans="1:72" s="253" customFormat="1">
      <c r="A10" s="444">
        <v>18</v>
      </c>
      <c r="B10" s="503" t="s">
        <v>206</v>
      </c>
      <c r="C10" s="382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83"/>
      <c r="AM10" s="383"/>
      <c r="AN10" s="383"/>
      <c r="AO10" s="383"/>
      <c r="AP10" s="383"/>
      <c r="AQ10" s="383"/>
      <c r="AR10" s="383"/>
      <c r="AS10" s="383"/>
      <c r="AT10" s="383"/>
      <c r="AU10" s="383"/>
      <c r="AV10" s="383"/>
      <c r="AW10" s="383"/>
      <c r="AX10" s="383"/>
      <c r="AY10" s="383"/>
      <c r="AZ10" s="383"/>
      <c r="BA10" s="383"/>
      <c r="BB10" s="383"/>
      <c r="BC10" s="383"/>
      <c r="BD10" s="383"/>
      <c r="BE10" s="383"/>
      <c r="BF10" s="383"/>
      <c r="BG10" s="383"/>
      <c r="BH10" s="383"/>
      <c r="BI10" s="383"/>
      <c r="BJ10" s="321"/>
      <c r="BK10" s="321"/>
      <c r="BL10" s="321"/>
      <c r="BM10" s="321"/>
      <c r="BN10" s="321"/>
      <c r="BO10" s="321"/>
      <c r="BP10" s="321"/>
      <c r="BQ10" s="322"/>
      <c r="BR10" s="28"/>
      <c r="BS10" s="28"/>
      <c r="BT10" s="33">
        <f t="shared" si="0"/>
        <v>0</v>
      </c>
    </row>
    <row r="11" spans="1:72" s="253" customFormat="1">
      <c r="A11" s="444">
        <v>19</v>
      </c>
      <c r="B11" s="503" t="s">
        <v>207</v>
      </c>
      <c r="C11" s="382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  <c r="AL11" s="383"/>
      <c r="AM11" s="383"/>
      <c r="AN11" s="383"/>
      <c r="AO11" s="383"/>
      <c r="AP11" s="383"/>
      <c r="AQ11" s="383"/>
      <c r="AR11" s="383"/>
      <c r="AS11" s="383"/>
      <c r="AT11" s="383"/>
      <c r="AU11" s="383"/>
      <c r="AV11" s="383"/>
      <c r="AW11" s="383"/>
      <c r="AX11" s="383"/>
      <c r="AY11" s="383"/>
      <c r="AZ11" s="383"/>
      <c r="BA11" s="383"/>
      <c r="BB11" s="383"/>
      <c r="BC11" s="383"/>
      <c r="BD11" s="383"/>
      <c r="BE11" s="383"/>
      <c r="BF11" s="383"/>
      <c r="BG11" s="383"/>
      <c r="BH11" s="383"/>
      <c r="BI11" s="383"/>
      <c r="BJ11" s="321"/>
      <c r="BK11" s="321"/>
      <c r="BL11" s="321"/>
      <c r="BM11" s="321"/>
      <c r="BN11" s="321"/>
      <c r="BO11" s="321"/>
      <c r="BP11" s="321"/>
      <c r="BQ11" s="322"/>
      <c r="BR11" s="28"/>
      <c r="BS11" s="28"/>
      <c r="BT11" s="33">
        <f t="shared" si="0"/>
        <v>0</v>
      </c>
    </row>
    <row r="12" spans="1:72" s="253" customFormat="1">
      <c r="A12" s="444">
        <v>26</v>
      </c>
      <c r="B12" s="503" t="s">
        <v>208</v>
      </c>
      <c r="C12" s="382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3"/>
      <c r="AS12" s="383"/>
      <c r="AT12" s="383"/>
      <c r="AU12" s="383"/>
      <c r="AV12" s="383"/>
      <c r="AW12" s="383"/>
      <c r="AX12" s="383"/>
      <c r="AY12" s="383"/>
      <c r="AZ12" s="383"/>
      <c r="BA12" s="383"/>
      <c r="BB12" s="383"/>
      <c r="BC12" s="383"/>
      <c r="BD12" s="383"/>
      <c r="BE12" s="383"/>
      <c r="BF12" s="383"/>
      <c r="BG12" s="383"/>
      <c r="BH12" s="383"/>
      <c r="BI12" s="383"/>
      <c r="BJ12" s="321"/>
      <c r="BK12" s="321"/>
      <c r="BL12" s="321"/>
      <c r="BM12" s="321"/>
      <c r="BN12" s="321"/>
      <c r="BO12" s="321"/>
      <c r="BP12" s="321"/>
      <c r="BQ12" s="322"/>
      <c r="BR12" s="28"/>
      <c r="BS12" s="28"/>
      <c r="BT12" s="33">
        <f t="shared" si="0"/>
        <v>0</v>
      </c>
    </row>
    <row r="13" spans="1:72" s="253" customFormat="1">
      <c r="A13" s="444">
        <v>33</v>
      </c>
      <c r="B13" s="503" t="s">
        <v>219</v>
      </c>
      <c r="C13" s="382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  <c r="AM13" s="383"/>
      <c r="AN13" s="383"/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3"/>
      <c r="BB13" s="383"/>
      <c r="BC13" s="383"/>
      <c r="BD13" s="383"/>
      <c r="BE13" s="383"/>
      <c r="BF13" s="383"/>
      <c r="BG13" s="383"/>
      <c r="BH13" s="383"/>
      <c r="BI13" s="383"/>
      <c r="BJ13" s="321"/>
      <c r="BK13" s="321"/>
      <c r="BL13" s="321"/>
      <c r="BM13" s="321"/>
      <c r="BN13" s="321"/>
      <c r="BO13" s="321"/>
      <c r="BP13" s="321"/>
      <c r="BQ13" s="322"/>
      <c r="BR13" s="28"/>
      <c r="BS13" s="28"/>
      <c r="BT13" s="33">
        <f t="shared" si="0"/>
        <v>0</v>
      </c>
    </row>
    <row r="14" spans="1:72" s="253" customFormat="1">
      <c r="A14" s="444">
        <v>34</v>
      </c>
      <c r="B14" s="503" t="s">
        <v>220</v>
      </c>
      <c r="C14" s="382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83"/>
      <c r="AJ14" s="383"/>
      <c r="AK14" s="383"/>
      <c r="AL14" s="383"/>
      <c r="AM14" s="383"/>
      <c r="AN14" s="383"/>
      <c r="AO14" s="383"/>
      <c r="AP14" s="383"/>
      <c r="AQ14" s="383"/>
      <c r="AR14" s="383"/>
      <c r="AS14" s="383"/>
      <c r="AT14" s="383"/>
      <c r="AU14" s="383"/>
      <c r="AV14" s="383"/>
      <c r="AW14" s="383"/>
      <c r="AX14" s="383"/>
      <c r="AY14" s="383"/>
      <c r="AZ14" s="383"/>
      <c r="BA14" s="383"/>
      <c r="BB14" s="383"/>
      <c r="BC14" s="383"/>
      <c r="BD14" s="383"/>
      <c r="BE14" s="383"/>
      <c r="BF14" s="383"/>
      <c r="BG14" s="383"/>
      <c r="BH14" s="383"/>
      <c r="BI14" s="383"/>
      <c r="BJ14" s="321"/>
      <c r="BK14" s="321"/>
      <c r="BL14" s="321"/>
      <c r="BM14" s="321"/>
      <c r="BN14" s="321"/>
      <c r="BO14" s="321"/>
      <c r="BP14" s="321"/>
      <c r="BQ14" s="322"/>
      <c r="BR14" s="28"/>
      <c r="BS14" s="28"/>
      <c r="BT14" s="33">
        <f t="shared" si="0"/>
        <v>0</v>
      </c>
    </row>
    <row r="15" spans="1:72" s="253" customFormat="1">
      <c r="A15" s="444">
        <v>35</v>
      </c>
      <c r="B15" s="503" t="s">
        <v>209</v>
      </c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383"/>
      <c r="BA15" s="383"/>
      <c r="BB15" s="383"/>
      <c r="BC15" s="383"/>
      <c r="BD15" s="383"/>
      <c r="BE15" s="383"/>
      <c r="BF15" s="383"/>
      <c r="BG15" s="383"/>
      <c r="BH15" s="383"/>
      <c r="BI15" s="383"/>
      <c r="BJ15" s="321"/>
      <c r="BK15" s="321"/>
      <c r="BL15" s="321"/>
      <c r="BM15" s="321"/>
      <c r="BN15" s="321"/>
      <c r="BO15" s="321"/>
      <c r="BP15" s="321"/>
      <c r="BQ15" s="322"/>
      <c r="BR15" s="28"/>
      <c r="BS15" s="28"/>
      <c r="BT15" s="33">
        <f t="shared" si="0"/>
        <v>0</v>
      </c>
    </row>
    <row r="16" spans="1:72" s="253" customFormat="1">
      <c r="A16" s="444">
        <v>36</v>
      </c>
      <c r="B16" s="503" t="s">
        <v>231</v>
      </c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  <c r="AL16" s="383"/>
      <c r="AM16" s="383"/>
      <c r="AN16" s="383"/>
      <c r="AO16" s="383"/>
      <c r="AP16" s="383"/>
      <c r="AQ16" s="383"/>
      <c r="AR16" s="383"/>
      <c r="AS16" s="383"/>
      <c r="AT16" s="383"/>
      <c r="AU16" s="383"/>
      <c r="AV16" s="383"/>
      <c r="AW16" s="383"/>
      <c r="AX16" s="383"/>
      <c r="AY16" s="383"/>
      <c r="AZ16" s="383"/>
      <c r="BA16" s="383"/>
      <c r="BB16" s="383"/>
      <c r="BC16" s="383"/>
      <c r="BD16" s="383"/>
      <c r="BE16" s="383"/>
      <c r="BF16" s="383"/>
      <c r="BG16" s="383"/>
      <c r="BH16" s="383"/>
      <c r="BI16" s="383"/>
      <c r="BJ16" s="321"/>
      <c r="BK16" s="321"/>
      <c r="BL16" s="321"/>
      <c r="BM16" s="321"/>
      <c r="BN16" s="321"/>
      <c r="BO16" s="321"/>
      <c r="BP16" s="321"/>
      <c r="BQ16" s="322"/>
      <c r="BR16" s="28"/>
      <c r="BS16" s="28"/>
      <c r="BT16" s="33">
        <f t="shared" si="0"/>
        <v>0</v>
      </c>
    </row>
    <row r="17" spans="1:72" s="253" customFormat="1">
      <c r="A17" s="444">
        <v>38</v>
      </c>
      <c r="B17" s="503" t="s">
        <v>221</v>
      </c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83"/>
      <c r="AJ17" s="383"/>
      <c r="AK17" s="383"/>
      <c r="AL17" s="383"/>
      <c r="AM17" s="383"/>
      <c r="AN17" s="383"/>
      <c r="AO17" s="383"/>
      <c r="AP17" s="383"/>
      <c r="AQ17" s="383"/>
      <c r="AR17" s="383"/>
      <c r="AS17" s="383"/>
      <c r="AT17" s="383"/>
      <c r="AU17" s="383"/>
      <c r="AV17" s="383"/>
      <c r="AW17" s="383"/>
      <c r="AX17" s="383"/>
      <c r="AY17" s="383"/>
      <c r="AZ17" s="383"/>
      <c r="BA17" s="383"/>
      <c r="BB17" s="383"/>
      <c r="BC17" s="383"/>
      <c r="BD17" s="383"/>
      <c r="BE17" s="383"/>
      <c r="BF17" s="383"/>
      <c r="BG17" s="383"/>
      <c r="BH17" s="383"/>
      <c r="BI17" s="383"/>
      <c r="BJ17" s="321"/>
      <c r="BK17" s="321"/>
      <c r="BL17" s="321"/>
      <c r="BM17" s="321"/>
      <c r="BN17" s="321"/>
      <c r="BO17" s="321"/>
      <c r="BP17" s="321"/>
      <c r="BQ17" s="322"/>
      <c r="BR17" s="28"/>
      <c r="BS17" s="28"/>
      <c r="BT17" s="33">
        <f t="shared" si="0"/>
        <v>0</v>
      </c>
    </row>
    <row r="18" spans="1:72" s="253" customFormat="1">
      <c r="A18" s="444">
        <v>40</v>
      </c>
      <c r="B18" s="686" t="s">
        <v>210</v>
      </c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383"/>
      <c r="AE18" s="383"/>
      <c r="AF18" s="383"/>
      <c r="AG18" s="383"/>
      <c r="AH18" s="383"/>
      <c r="AI18" s="383"/>
      <c r="AJ18" s="383"/>
      <c r="AK18" s="383"/>
      <c r="AL18" s="383"/>
      <c r="AM18" s="383"/>
      <c r="AN18" s="383"/>
      <c r="AO18" s="383"/>
      <c r="AP18" s="383"/>
      <c r="AQ18" s="383"/>
      <c r="AR18" s="383"/>
      <c r="AS18" s="383"/>
      <c r="AT18" s="383"/>
      <c r="AU18" s="383"/>
      <c r="AV18" s="383"/>
      <c r="AW18" s="383"/>
      <c r="AX18" s="383"/>
      <c r="AY18" s="383"/>
      <c r="AZ18" s="383"/>
      <c r="BA18" s="383"/>
      <c r="BB18" s="383"/>
      <c r="BC18" s="383"/>
      <c r="BD18" s="383"/>
      <c r="BE18" s="383"/>
      <c r="BF18" s="383"/>
      <c r="BG18" s="383"/>
      <c r="BH18" s="383"/>
      <c r="BI18" s="383"/>
      <c r="BJ18" s="321"/>
      <c r="BK18" s="321"/>
      <c r="BL18" s="321"/>
      <c r="BM18" s="321"/>
      <c r="BN18" s="321"/>
      <c r="BO18" s="321"/>
      <c r="BP18" s="321"/>
      <c r="BQ18" s="322"/>
      <c r="BR18" s="28"/>
      <c r="BS18" s="28"/>
      <c r="BT18" s="33">
        <f t="shared" si="0"/>
        <v>0</v>
      </c>
    </row>
    <row r="19" spans="1:72" s="253" customFormat="1">
      <c r="A19" s="443">
        <v>42</v>
      </c>
      <c r="B19" s="686" t="s">
        <v>222</v>
      </c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3">
        <v>65.97</v>
      </c>
      <c r="Z19" s="383"/>
      <c r="AA19" s="383"/>
      <c r="AB19" s="383"/>
      <c r="AC19" s="383"/>
      <c r="AD19" s="383"/>
      <c r="AE19" s="383"/>
      <c r="AF19" s="383"/>
      <c r="AG19" s="383"/>
      <c r="AH19" s="383"/>
      <c r="AI19" s="383"/>
      <c r="AJ19" s="383"/>
      <c r="AK19" s="383"/>
      <c r="AL19" s="383"/>
      <c r="AM19" s="383"/>
      <c r="AN19" s="383"/>
      <c r="AO19" s="383"/>
      <c r="AP19" s="383"/>
      <c r="AQ19" s="383"/>
      <c r="AR19" s="383"/>
      <c r="AS19" s="383"/>
      <c r="AT19" s="383"/>
      <c r="AU19" s="383"/>
      <c r="AV19" s="383"/>
      <c r="AW19" s="383"/>
      <c r="AX19" s="383"/>
      <c r="AY19" s="383"/>
      <c r="AZ19" s="383"/>
      <c r="BA19" s="383"/>
      <c r="BB19" s="383"/>
      <c r="BC19" s="383"/>
      <c r="BD19" s="383"/>
      <c r="BE19" s="383"/>
      <c r="BF19" s="383"/>
      <c r="BG19" s="383"/>
      <c r="BH19" s="383"/>
      <c r="BI19" s="383"/>
      <c r="BJ19" s="321"/>
      <c r="BK19" s="321"/>
      <c r="BL19" s="321"/>
      <c r="BM19" s="321"/>
      <c r="BN19" s="321"/>
      <c r="BO19" s="321"/>
      <c r="BP19" s="321"/>
      <c r="BQ19" s="322"/>
      <c r="BR19" s="28"/>
      <c r="BS19" s="28"/>
      <c r="BT19" s="33">
        <f t="shared" si="0"/>
        <v>65.97</v>
      </c>
    </row>
    <row r="20" spans="1:72" s="253" customFormat="1">
      <c r="A20" s="443">
        <v>43</v>
      </c>
      <c r="B20" s="686" t="s">
        <v>223</v>
      </c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  <c r="AC20" s="383"/>
      <c r="AD20" s="383"/>
      <c r="AE20" s="383"/>
      <c r="AF20" s="383"/>
      <c r="AG20" s="383"/>
      <c r="AH20" s="383"/>
      <c r="AI20" s="383"/>
      <c r="AJ20" s="383"/>
      <c r="AK20" s="383"/>
      <c r="AL20" s="383"/>
      <c r="AM20" s="383"/>
      <c r="AN20" s="383"/>
      <c r="AO20" s="383"/>
      <c r="AP20" s="383"/>
      <c r="AQ20" s="383"/>
      <c r="AR20" s="383"/>
      <c r="AS20" s="383"/>
      <c r="AT20" s="383"/>
      <c r="AU20" s="383"/>
      <c r="AV20" s="383"/>
      <c r="AW20" s="383"/>
      <c r="AX20" s="383"/>
      <c r="AY20" s="383"/>
      <c r="AZ20" s="383"/>
      <c r="BA20" s="383"/>
      <c r="BB20" s="383"/>
      <c r="BC20" s="383"/>
      <c r="BD20" s="383"/>
      <c r="BE20" s="383"/>
      <c r="BF20" s="383"/>
      <c r="BG20" s="383"/>
      <c r="BH20" s="383"/>
      <c r="BI20" s="383"/>
      <c r="BJ20" s="321"/>
      <c r="BK20" s="321"/>
      <c r="BL20" s="321"/>
      <c r="BM20" s="321"/>
      <c r="BN20" s="321"/>
      <c r="BO20" s="321"/>
      <c r="BP20" s="321"/>
      <c r="BQ20" s="322"/>
      <c r="BR20" s="28"/>
      <c r="BS20" s="28"/>
      <c r="BT20" s="33">
        <f t="shared" si="0"/>
        <v>0</v>
      </c>
    </row>
    <row r="21" spans="1:72" s="253" customFormat="1">
      <c r="A21" s="443">
        <v>44</v>
      </c>
      <c r="B21" s="503" t="s">
        <v>224</v>
      </c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3"/>
      <c r="AL21" s="383"/>
      <c r="AM21" s="383"/>
      <c r="AN21" s="383"/>
      <c r="AO21" s="383"/>
      <c r="AP21" s="383"/>
      <c r="AQ21" s="383"/>
      <c r="AR21" s="383"/>
      <c r="AS21" s="383"/>
      <c r="AT21" s="383"/>
      <c r="AU21" s="383"/>
      <c r="AV21" s="383"/>
      <c r="AW21" s="383"/>
      <c r="AX21" s="383"/>
      <c r="AY21" s="383"/>
      <c r="AZ21" s="383"/>
      <c r="BA21" s="383"/>
      <c r="BB21" s="383"/>
      <c r="BC21" s="383"/>
      <c r="BD21" s="383"/>
      <c r="BE21" s="383"/>
      <c r="BF21" s="383"/>
      <c r="BG21" s="383"/>
      <c r="BH21" s="383"/>
      <c r="BI21" s="383"/>
      <c r="BJ21" s="321"/>
      <c r="BK21" s="321"/>
      <c r="BL21" s="321"/>
      <c r="BM21" s="321"/>
      <c r="BN21" s="321"/>
      <c r="BO21" s="321"/>
      <c r="BP21" s="321"/>
      <c r="BQ21" s="322"/>
      <c r="BR21" s="28"/>
      <c r="BS21" s="28"/>
      <c r="BT21" s="33">
        <f t="shared" si="0"/>
        <v>0</v>
      </c>
    </row>
    <row r="22" spans="1:72" s="253" customFormat="1">
      <c r="A22" s="443">
        <v>45</v>
      </c>
      <c r="B22" s="503" t="s">
        <v>225</v>
      </c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  <c r="AC22" s="383"/>
      <c r="AD22" s="383"/>
      <c r="AE22" s="383"/>
      <c r="AF22" s="383"/>
      <c r="AG22" s="383"/>
      <c r="AH22" s="383"/>
      <c r="AI22" s="383"/>
      <c r="AJ22" s="383"/>
      <c r="AK22" s="383"/>
      <c r="AL22" s="383"/>
      <c r="AM22" s="383"/>
      <c r="AN22" s="383"/>
      <c r="AO22" s="383"/>
      <c r="AP22" s="383"/>
      <c r="AQ22" s="383"/>
      <c r="AR22" s="383"/>
      <c r="AS22" s="383"/>
      <c r="AT22" s="383"/>
      <c r="AU22" s="383"/>
      <c r="AV22" s="383"/>
      <c r="AW22" s="383"/>
      <c r="AX22" s="383"/>
      <c r="AY22" s="383"/>
      <c r="AZ22" s="383"/>
      <c r="BA22" s="383"/>
      <c r="BB22" s="383"/>
      <c r="BC22" s="383"/>
      <c r="BD22" s="383"/>
      <c r="BE22" s="383"/>
      <c r="BF22" s="383"/>
      <c r="BG22" s="383"/>
      <c r="BH22" s="383"/>
      <c r="BI22" s="383"/>
      <c r="BJ22" s="321"/>
      <c r="BK22" s="321"/>
      <c r="BL22" s="321"/>
      <c r="BM22" s="321"/>
      <c r="BN22" s="321"/>
      <c r="BO22" s="321"/>
      <c r="BP22" s="321"/>
      <c r="BQ22" s="322"/>
      <c r="BR22" s="28"/>
      <c r="BS22" s="28"/>
      <c r="BT22" s="33">
        <f t="shared" si="0"/>
        <v>0</v>
      </c>
    </row>
    <row r="23" spans="1:72" s="253" customFormat="1">
      <c r="A23" s="443">
        <v>46</v>
      </c>
      <c r="B23" s="503" t="s">
        <v>211</v>
      </c>
      <c r="C23" s="382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3"/>
      <c r="AL23" s="383"/>
      <c r="AM23" s="383"/>
      <c r="AN23" s="383"/>
      <c r="AO23" s="383"/>
      <c r="AP23" s="383"/>
      <c r="AQ23" s="383"/>
      <c r="AR23" s="383"/>
      <c r="AS23" s="383"/>
      <c r="AT23" s="383"/>
      <c r="AU23" s="383"/>
      <c r="AV23" s="383"/>
      <c r="AW23" s="383"/>
      <c r="AX23" s="383"/>
      <c r="AY23" s="383"/>
      <c r="AZ23" s="383"/>
      <c r="BA23" s="383"/>
      <c r="BB23" s="383"/>
      <c r="BC23" s="383"/>
      <c r="BD23" s="383"/>
      <c r="BE23" s="383"/>
      <c r="BF23" s="383"/>
      <c r="BG23" s="383"/>
      <c r="BH23" s="383"/>
      <c r="BI23" s="383"/>
      <c r="BJ23" s="321"/>
      <c r="BK23" s="321"/>
      <c r="BL23" s="321"/>
      <c r="BM23" s="321"/>
      <c r="BN23" s="321"/>
      <c r="BO23" s="321"/>
      <c r="BP23" s="321"/>
      <c r="BQ23" s="322"/>
      <c r="BR23" s="28"/>
      <c r="BS23" s="28"/>
      <c r="BT23" s="33">
        <f t="shared" si="0"/>
        <v>0</v>
      </c>
    </row>
    <row r="24" spans="1:72" s="253" customFormat="1">
      <c r="A24" s="443">
        <v>47</v>
      </c>
      <c r="B24" s="503" t="s">
        <v>212</v>
      </c>
      <c r="C24" s="382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  <c r="AC24" s="383"/>
      <c r="AD24" s="383"/>
      <c r="AE24" s="383"/>
      <c r="AF24" s="383"/>
      <c r="AG24" s="383"/>
      <c r="AH24" s="383"/>
      <c r="AI24" s="383"/>
      <c r="AJ24" s="383"/>
      <c r="AK24" s="383"/>
      <c r="AL24" s="383"/>
      <c r="AM24" s="383"/>
      <c r="AN24" s="383"/>
      <c r="AO24" s="383"/>
      <c r="AP24" s="383"/>
      <c r="AQ24" s="383"/>
      <c r="AR24" s="383"/>
      <c r="AS24" s="383"/>
      <c r="AT24" s="383"/>
      <c r="AU24" s="383"/>
      <c r="AV24" s="383"/>
      <c r="AW24" s="383"/>
      <c r="AX24" s="383"/>
      <c r="AY24" s="383"/>
      <c r="AZ24" s="383"/>
      <c r="BA24" s="383"/>
      <c r="BB24" s="383"/>
      <c r="BC24" s="383"/>
      <c r="BD24" s="383"/>
      <c r="BE24" s="383"/>
      <c r="BF24" s="383"/>
      <c r="BG24" s="383"/>
      <c r="BH24" s="383"/>
      <c r="BI24" s="383"/>
      <c r="BJ24" s="321"/>
      <c r="BK24" s="321"/>
      <c r="BL24" s="321"/>
      <c r="BM24" s="321"/>
      <c r="BN24" s="321"/>
      <c r="BO24" s="321"/>
      <c r="BP24" s="321"/>
      <c r="BQ24" s="322"/>
      <c r="BR24" s="28"/>
      <c r="BS24" s="28"/>
      <c r="BT24" s="33">
        <f t="shared" si="0"/>
        <v>0</v>
      </c>
    </row>
    <row r="25" spans="1:72" s="253" customFormat="1">
      <c r="A25" s="443">
        <v>48</v>
      </c>
      <c r="B25" s="503" t="s">
        <v>213</v>
      </c>
      <c r="C25" s="382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>
        <v>15</v>
      </c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83"/>
      <c r="AM25" s="383"/>
      <c r="AN25" s="383"/>
      <c r="AO25" s="383"/>
      <c r="AP25" s="383"/>
      <c r="AQ25" s="383"/>
      <c r="AR25" s="383"/>
      <c r="AS25" s="383"/>
      <c r="AT25" s="383"/>
      <c r="AU25" s="383"/>
      <c r="AV25" s="383"/>
      <c r="AW25" s="383"/>
      <c r="AX25" s="383"/>
      <c r="AY25" s="383"/>
      <c r="AZ25" s="383"/>
      <c r="BA25" s="383"/>
      <c r="BB25" s="383"/>
      <c r="BC25" s="383"/>
      <c r="BD25" s="383"/>
      <c r="BE25" s="383"/>
      <c r="BF25" s="383"/>
      <c r="BG25" s="383"/>
      <c r="BH25" s="383"/>
      <c r="BI25" s="383"/>
      <c r="BJ25" s="321"/>
      <c r="BK25" s="321"/>
      <c r="BL25" s="321"/>
      <c r="BM25" s="321"/>
      <c r="BN25" s="321"/>
      <c r="BO25" s="321"/>
      <c r="BP25" s="321"/>
      <c r="BQ25" s="322"/>
      <c r="BR25" s="28"/>
      <c r="BS25" s="28"/>
      <c r="BT25" s="33">
        <f t="shared" si="0"/>
        <v>15</v>
      </c>
    </row>
    <row r="26" spans="1:72" s="253" customFormat="1">
      <c r="A26" s="443">
        <v>49</v>
      </c>
      <c r="B26" s="503" t="s">
        <v>226</v>
      </c>
      <c r="C26" s="382"/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  <c r="Z26" s="383"/>
      <c r="AA26" s="383"/>
      <c r="AB26" s="383"/>
      <c r="AC26" s="383"/>
      <c r="AD26" s="383"/>
      <c r="AE26" s="383"/>
      <c r="AF26" s="383"/>
      <c r="AG26" s="383"/>
      <c r="AH26" s="383"/>
      <c r="AI26" s="383"/>
      <c r="AJ26" s="383"/>
      <c r="AK26" s="383"/>
      <c r="AL26" s="383"/>
      <c r="AM26" s="383"/>
      <c r="AN26" s="383"/>
      <c r="AO26" s="383"/>
      <c r="AP26" s="383"/>
      <c r="AQ26" s="383"/>
      <c r="AR26" s="383"/>
      <c r="AS26" s="383"/>
      <c r="AT26" s="383"/>
      <c r="AU26" s="383"/>
      <c r="AV26" s="383"/>
      <c r="AW26" s="383"/>
      <c r="AX26" s="383"/>
      <c r="AY26" s="383"/>
      <c r="AZ26" s="383"/>
      <c r="BA26" s="383"/>
      <c r="BB26" s="383"/>
      <c r="BC26" s="383"/>
      <c r="BD26" s="383"/>
      <c r="BE26" s="383"/>
      <c r="BF26" s="383"/>
      <c r="BG26" s="383"/>
      <c r="BH26" s="383"/>
      <c r="BI26" s="383"/>
      <c r="BJ26" s="321"/>
      <c r="BK26" s="321"/>
      <c r="BL26" s="321"/>
      <c r="BM26" s="321"/>
      <c r="BN26" s="321"/>
      <c r="BO26" s="321"/>
      <c r="BP26" s="321"/>
      <c r="BQ26" s="322"/>
      <c r="BR26" s="28"/>
      <c r="BS26" s="28"/>
      <c r="BT26" s="33">
        <f>SUM(D26:BP26)</f>
        <v>0</v>
      </c>
    </row>
    <row r="27" spans="1:72" s="253" customFormat="1">
      <c r="A27" s="443">
        <v>50</v>
      </c>
      <c r="B27" s="503" t="s">
        <v>227</v>
      </c>
      <c r="C27" s="382"/>
      <c r="D27" s="383"/>
      <c r="E27" s="383"/>
      <c r="F27" s="383"/>
      <c r="G27" s="383"/>
      <c r="H27" s="383"/>
      <c r="I27" s="383">
        <v>55.16</v>
      </c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  <c r="AC27" s="383"/>
      <c r="AD27" s="383"/>
      <c r="AE27" s="383"/>
      <c r="AF27" s="383"/>
      <c r="AG27" s="383"/>
      <c r="AH27" s="383"/>
      <c r="AI27" s="383"/>
      <c r="AJ27" s="383"/>
      <c r="AK27" s="383"/>
      <c r="AL27" s="383"/>
      <c r="AM27" s="383"/>
      <c r="AN27" s="383"/>
      <c r="AO27" s="383"/>
      <c r="AP27" s="383"/>
      <c r="AQ27" s="383"/>
      <c r="AR27" s="383"/>
      <c r="AS27" s="383"/>
      <c r="AT27" s="383"/>
      <c r="AU27" s="383"/>
      <c r="AV27" s="383"/>
      <c r="AW27" s="383"/>
      <c r="AX27" s="383"/>
      <c r="AY27" s="383"/>
      <c r="AZ27" s="383"/>
      <c r="BA27" s="383"/>
      <c r="BB27" s="383"/>
      <c r="BC27" s="383"/>
      <c r="BD27" s="383"/>
      <c r="BE27" s="383"/>
      <c r="BF27" s="383"/>
      <c r="BG27" s="383"/>
      <c r="BH27" s="383"/>
      <c r="BI27" s="383"/>
      <c r="BJ27" s="321"/>
      <c r="BK27" s="321"/>
      <c r="BL27" s="321"/>
      <c r="BM27" s="321"/>
      <c r="BN27" s="321"/>
      <c r="BO27" s="321"/>
      <c r="BP27" s="321"/>
      <c r="BQ27" s="322"/>
      <c r="BR27" s="28"/>
      <c r="BS27" s="28"/>
      <c r="BT27" s="33">
        <f>SUM(D27:BP27)</f>
        <v>55.16</v>
      </c>
    </row>
    <row r="28" spans="1:72" s="253" customFormat="1">
      <c r="A28" s="443">
        <v>51</v>
      </c>
      <c r="B28" s="503" t="s">
        <v>228</v>
      </c>
      <c r="C28" s="382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  <c r="AA28" s="383"/>
      <c r="AB28" s="383"/>
      <c r="AC28" s="383"/>
      <c r="AD28" s="383"/>
      <c r="AE28" s="383"/>
      <c r="AF28" s="383"/>
      <c r="AG28" s="383"/>
      <c r="AH28" s="383"/>
      <c r="AI28" s="383"/>
      <c r="AJ28" s="383"/>
      <c r="AK28" s="383"/>
      <c r="AL28" s="383"/>
      <c r="AM28" s="383"/>
      <c r="AN28" s="383"/>
      <c r="AO28" s="383"/>
      <c r="AP28" s="383"/>
      <c r="AQ28" s="383"/>
      <c r="AR28" s="383"/>
      <c r="AS28" s="383"/>
      <c r="AT28" s="383"/>
      <c r="AU28" s="383"/>
      <c r="AV28" s="383"/>
      <c r="AW28" s="383"/>
      <c r="AX28" s="383"/>
      <c r="AY28" s="383"/>
      <c r="AZ28" s="383"/>
      <c r="BA28" s="383"/>
      <c r="BB28" s="383"/>
      <c r="BC28" s="383"/>
      <c r="BD28" s="383"/>
      <c r="BE28" s="383"/>
      <c r="BF28" s="383"/>
      <c r="BG28" s="383"/>
      <c r="BH28" s="383"/>
      <c r="BI28" s="383"/>
      <c r="BJ28" s="321"/>
      <c r="BK28" s="321"/>
      <c r="BL28" s="321"/>
      <c r="BM28" s="321"/>
      <c r="BN28" s="321"/>
      <c r="BO28" s="321"/>
      <c r="BP28" s="321"/>
      <c r="BQ28" s="322"/>
      <c r="BR28" s="28"/>
      <c r="BS28" s="28"/>
      <c r="BT28" s="33">
        <f t="shared" ref="BT28:BT38" si="2">SUM(D28:BP28)</f>
        <v>0</v>
      </c>
    </row>
    <row r="29" spans="1:72" s="253" customFormat="1">
      <c r="A29" s="443">
        <v>52</v>
      </c>
      <c r="B29" s="503" t="s">
        <v>214</v>
      </c>
      <c r="C29" s="382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383"/>
      <c r="AE29" s="383"/>
      <c r="AF29" s="383"/>
      <c r="AG29" s="383"/>
      <c r="AH29" s="383"/>
      <c r="AI29" s="383"/>
      <c r="AJ29" s="383"/>
      <c r="AK29" s="383"/>
      <c r="AL29" s="383"/>
      <c r="AM29" s="383"/>
      <c r="AN29" s="383"/>
      <c r="AO29" s="383"/>
      <c r="AP29" s="383"/>
      <c r="AQ29" s="383"/>
      <c r="AR29" s="383"/>
      <c r="AS29" s="383"/>
      <c r="AT29" s="383"/>
      <c r="AU29" s="383"/>
      <c r="AV29" s="383"/>
      <c r="AW29" s="383"/>
      <c r="AX29" s="383"/>
      <c r="AY29" s="383"/>
      <c r="AZ29" s="383"/>
      <c r="BA29" s="383"/>
      <c r="BB29" s="383"/>
      <c r="BC29" s="383"/>
      <c r="BD29" s="383"/>
      <c r="BE29" s="383"/>
      <c r="BF29" s="383"/>
      <c r="BG29" s="383"/>
      <c r="BH29" s="383"/>
      <c r="BI29" s="383"/>
      <c r="BJ29" s="321"/>
      <c r="BK29" s="321"/>
      <c r="BL29" s="321"/>
      <c r="BM29" s="321"/>
      <c r="BN29" s="321"/>
      <c r="BO29" s="321"/>
      <c r="BP29" s="321"/>
      <c r="BQ29" s="322"/>
      <c r="BR29" s="28"/>
      <c r="BS29" s="28"/>
      <c r="BT29" s="33">
        <f t="shared" si="2"/>
        <v>0</v>
      </c>
    </row>
    <row r="30" spans="1:72" s="253" customFormat="1">
      <c r="A30" s="443">
        <v>53</v>
      </c>
      <c r="B30" s="503" t="s">
        <v>215</v>
      </c>
      <c r="C30" s="382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  <c r="AC30" s="383"/>
      <c r="AD30" s="383"/>
      <c r="AE30" s="383"/>
      <c r="AF30" s="383"/>
      <c r="AG30" s="383"/>
      <c r="AH30" s="383"/>
      <c r="AI30" s="383"/>
      <c r="AJ30" s="383"/>
      <c r="AK30" s="383"/>
      <c r="AL30" s="383"/>
      <c r="AM30" s="383"/>
      <c r="AN30" s="383"/>
      <c r="AO30" s="383"/>
      <c r="AP30" s="383"/>
      <c r="AQ30" s="383"/>
      <c r="AR30" s="383"/>
      <c r="AS30" s="383"/>
      <c r="AT30" s="383"/>
      <c r="AU30" s="383"/>
      <c r="AV30" s="383"/>
      <c r="AW30" s="383"/>
      <c r="AX30" s="383"/>
      <c r="AY30" s="383"/>
      <c r="AZ30" s="383"/>
      <c r="BA30" s="383"/>
      <c r="BB30" s="383"/>
      <c r="BC30" s="383"/>
      <c r="BD30" s="383"/>
      <c r="BE30" s="383"/>
      <c r="BF30" s="383"/>
      <c r="BG30" s="383"/>
      <c r="BH30" s="383"/>
      <c r="BI30" s="383"/>
      <c r="BJ30" s="321"/>
      <c r="BK30" s="321"/>
      <c r="BL30" s="321"/>
      <c r="BM30" s="321"/>
      <c r="BN30" s="321"/>
      <c r="BO30" s="321"/>
      <c r="BP30" s="321"/>
      <c r="BQ30" s="322"/>
      <c r="BR30" s="28"/>
      <c r="BS30" s="28"/>
      <c r="BT30" s="33">
        <f t="shared" si="2"/>
        <v>0</v>
      </c>
    </row>
    <row r="31" spans="1:72" s="253" customFormat="1">
      <c r="A31" s="447">
        <v>54</v>
      </c>
      <c r="B31" s="503" t="s">
        <v>229</v>
      </c>
      <c r="C31" s="382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  <c r="AC31" s="383"/>
      <c r="AD31" s="383"/>
      <c r="AE31" s="383"/>
      <c r="AF31" s="383"/>
      <c r="AG31" s="383"/>
      <c r="AH31" s="383"/>
      <c r="AI31" s="383"/>
      <c r="AJ31" s="383"/>
      <c r="AK31" s="383"/>
      <c r="AL31" s="383"/>
      <c r="AM31" s="383"/>
      <c r="AN31" s="383"/>
      <c r="AO31" s="383"/>
      <c r="AP31" s="383"/>
      <c r="AQ31" s="383"/>
      <c r="AR31" s="383"/>
      <c r="AS31" s="383"/>
      <c r="AT31" s="383"/>
      <c r="AU31" s="383"/>
      <c r="AV31" s="383"/>
      <c r="AW31" s="383"/>
      <c r="AX31" s="383"/>
      <c r="AY31" s="383"/>
      <c r="AZ31" s="383"/>
      <c r="BA31" s="383"/>
      <c r="BB31" s="383"/>
      <c r="BC31" s="383"/>
      <c r="BD31" s="383"/>
      <c r="BE31" s="383"/>
      <c r="BF31" s="383"/>
      <c r="BG31" s="383"/>
      <c r="BH31" s="383"/>
      <c r="BI31" s="383"/>
      <c r="BJ31" s="321"/>
      <c r="BK31" s="321"/>
      <c r="BL31" s="321"/>
      <c r="BM31" s="321"/>
      <c r="BN31" s="321"/>
      <c r="BO31" s="321"/>
      <c r="BP31" s="321"/>
      <c r="BQ31" s="322"/>
      <c r="BR31" s="28"/>
      <c r="BS31" s="28"/>
      <c r="BT31" s="33">
        <f t="shared" si="2"/>
        <v>0</v>
      </c>
    </row>
    <row r="32" spans="1:72" s="253" customFormat="1">
      <c r="A32" s="443">
        <v>55</v>
      </c>
      <c r="B32" s="503" t="s">
        <v>217</v>
      </c>
      <c r="C32" s="382"/>
      <c r="D32" s="383"/>
      <c r="E32" s="383"/>
      <c r="F32" s="383"/>
      <c r="G32" s="383"/>
      <c r="H32" s="383">
        <v>130.08000000000001</v>
      </c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  <c r="AC32" s="383"/>
      <c r="AD32" s="383"/>
      <c r="AE32" s="383"/>
      <c r="AF32" s="383"/>
      <c r="AG32" s="383"/>
      <c r="AH32" s="383"/>
      <c r="AI32" s="383"/>
      <c r="AJ32" s="383"/>
      <c r="AK32" s="383"/>
      <c r="AL32" s="383"/>
      <c r="AM32" s="383"/>
      <c r="AN32" s="383"/>
      <c r="AO32" s="383"/>
      <c r="AP32" s="383"/>
      <c r="AQ32" s="383"/>
      <c r="AR32" s="383"/>
      <c r="AS32" s="383"/>
      <c r="AT32" s="383"/>
      <c r="AU32" s="383"/>
      <c r="AV32" s="383"/>
      <c r="AW32" s="383"/>
      <c r="AX32" s="383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/>
      <c r="BI32" s="383"/>
      <c r="BJ32" s="321"/>
      <c r="BK32" s="321"/>
      <c r="BL32" s="321"/>
      <c r="BM32" s="321"/>
      <c r="BN32" s="321"/>
      <c r="BO32" s="321"/>
      <c r="BP32" s="321"/>
      <c r="BQ32" s="322"/>
      <c r="BR32" s="28"/>
      <c r="BS32" s="28"/>
      <c r="BT32" s="33">
        <f t="shared" si="2"/>
        <v>130.08000000000001</v>
      </c>
    </row>
    <row r="33" spans="1:72" s="253" customFormat="1">
      <c r="A33" s="443">
        <v>56</v>
      </c>
      <c r="B33" s="503" t="s">
        <v>216</v>
      </c>
      <c r="C33" s="382"/>
      <c r="D33" s="383"/>
      <c r="E33" s="383"/>
      <c r="F33" s="383"/>
      <c r="G33" s="383"/>
      <c r="H33" s="383">
        <v>23.85</v>
      </c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/>
      <c r="BI33" s="383"/>
      <c r="BJ33" s="321"/>
      <c r="BK33" s="321"/>
      <c r="BL33" s="321"/>
      <c r="BM33" s="321"/>
      <c r="BN33" s="321"/>
      <c r="BO33" s="321"/>
      <c r="BP33" s="321"/>
      <c r="BQ33" s="322"/>
      <c r="BR33" s="28"/>
      <c r="BS33" s="28"/>
      <c r="BT33" s="33">
        <f t="shared" si="2"/>
        <v>23.85</v>
      </c>
    </row>
    <row r="34" spans="1:72" s="253" customFormat="1">
      <c r="A34" s="443">
        <v>57</v>
      </c>
      <c r="B34" s="503" t="s">
        <v>230</v>
      </c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  <c r="AC34" s="383"/>
      <c r="AD34" s="383"/>
      <c r="AE34" s="383"/>
      <c r="AF34" s="383"/>
      <c r="AG34" s="383"/>
      <c r="AH34" s="383"/>
      <c r="AI34" s="383"/>
      <c r="AJ34" s="383"/>
      <c r="AK34" s="383"/>
      <c r="AL34" s="383"/>
      <c r="AM34" s="383"/>
      <c r="AN34" s="383"/>
      <c r="AO34" s="383"/>
      <c r="AP34" s="383"/>
      <c r="AQ34" s="383"/>
      <c r="AR34" s="383"/>
      <c r="AS34" s="383"/>
      <c r="AT34" s="383"/>
      <c r="AU34" s="383"/>
      <c r="AV34" s="383"/>
      <c r="AW34" s="383"/>
      <c r="AX34" s="383"/>
      <c r="AY34" s="383"/>
      <c r="AZ34" s="383"/>
      <c r="BA34" s="383"/>
      <c r="BB34" s="383"/>
      <c r="BC34" s="383"/>
      <c r="BD34" s="383"/>
      <c r="BE34" s="383"/>
      <c r="BF34" s="383"/>
      <c r="BG34" s="383"/>
      <c r="BH34" s="383"/>
      <c r="BI34" s="383"/>
      <c r="BJ34" s="321"/>
      <c r="BK34" s="321"/>
      <c r="BL34" s="321"/>
      <c r="BM34" s="321"/>
      <c r="BN34" s="321"/>
      <c r="BO34" s="321"/>
      <c r="BP34" s="321"/>
      <c r="BQ34" s="322"/>
      <c r="BR34" s="28"/>
      <c r="BS34" s="28"/>
      <c r="BT34" s="33">
        <f t="shared" si="2"/>
        <v>0</v>
      </c>
    </row>
    <row r="35" spans="1:72" s="253" customFormat="1" hidden="1">
      <c r="A35" s="443"/>
      <c r="B35" s="669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  <c r="AC35" s="383"/>
      <c r="AD35" s="383"/>
      <c r="AE35" s="383"/>
      <c r="AF35" s="383"/>
      <c r="AG35" s="383"/>
      <c r="AH35" s="383"/>
      <c r="AI35" s="383"/>
      <c r="AJ35" s="383"/>
      <c r="AK35" s="383"/>
      <c r="AL35" s="383"/>
      <c r="AM35" s="383"/>
      <c r="AN35" s="383"/>
      <c r="AO35" s="383"/>
      <c r="AP35" s="383"/>
      <c r="AQ35" s="383"/>
      <c r="AR35" s="383"/>
      <c r="AS35" s="383"/>
      <c r="AT35" s="383"/>
      <c r="AU35" s="383"/>
      <c r="AV35" s="383"/>
      <c r="AW35" s="383"/>
      <c r="AX35" s="383"/>
      <c r="AY35" s="383"/>
      <c r="AZ35" s="383"/>
      <c r="BA35" s="383"/>
      <c r="BB35" s="383"/>
      <c r="BC35" s="383"/>
      <c r="BD35" s="383"/>
      <c r="BE35" s="383"/>
      <c r="BF35" s="383"/>
      <c r="BG35" s="383"/>
      <c r="BH35" s="383"/>
      <c r="BI35" s="383"/>
      <c r="BJ35" s="321"/>
      <c r="BK35" s="321"/>
      <c r="BL35" s="321"/>
      <c r="BM35" s="321"/>
      <c r="BN35" s="321"/>
      <c r="BO35" s="321"/>
      <c r="BP35" s="321"/>
      <c r="BQ35" s="322"/>
      <c r="BR35" s="28"/>
      <c r="BS35" s="28"/>
      <c r="BT35" s="33">
        <f t="shared" si="2"/>
        <v>0</v>
      </c>
    </row>
    <row r="36" spans="1:72" s="253" customFormat="1" hidden="1">
      <c r="A36" s="443"/>
      <c r="B36" s="669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3"/>
      <c r="AK36" s="383"/>
      <c r="AL36" s="383"/>
      <c r="AM36" s="383"/>
      <c r="AN36" s="383"/>
      <c r="AO36" s="383"/>
      <c r="AP36" s="383"/>
      <c r="AQ36" s="383"/>
      <c r="AR36" s="383"/>
      <c r="AS36" s="383"/>
      <c r="AT36" s="383"/>
      <c r="AU36" s="383"/>
      <c r="AV36" s="383"/>
      <c r="AW36" s="383"/>
      <c r="AX36" s="383"/>
      <c r="AY36" s="383"/>
      <c r="AZ36" s="383"/>
      <c r="BA36" s="383"/>
      <c r="BB36" s="383"/>
      <c r="BC36" s="383"/>
      <c r="BD36" s="383"/>
      <c r="BE36" s="383"/>
      <c r="BF36" s="383"/>
      <c r="BG36" s="383"/>
      <c r="BH36" s="383"/>
      <c r="BI36" s="383"/>
      <c r="BJ36" s="321"/>
      <c r="BK36" s="321"/>
      <c r="BL36" s="321"/>
      <c r="BM36" s="321"/>
      <c r="BN36" s="321"/>
      <c r="BO36" s="321"/>
      <c r="BP36" s="321"/>
      <c r="BQ36" s="322"/>
      <c r="BR36" s="28"/>
      <c r="BS36" s="28"/>
      <c r="BT36" s="33">
        <f t="shared" si="2"/>
        <v>0</v>
      </c>
    </row>
    <row r="37" spans="1:72" s="253" customFormat="1" hidden="1">
      <c r="A37" s="443"/>
      <c r="B37" s="669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83"/>
      <c r="AM37" s="383"/>
      <c r="AN37" s="383"/>
      <c r="AO37" s="383"/>
      <c r="AP37" s="383"/>
      <c r="AQ37" s="383"/>
      <c r="AR37" s="383"/>
      <c r="AS37" s="383"/>
      <c r="AT37" s="383"/>
      <c r="AU37" s="383"/>
      <c r="AV37" s="383"/>
      <c r="AW37" s="383"/>
      <c r="AX37" s="383"/>
      <c r="AY37" s="383"/>
      <c r="AZ37" s="383"/>
      <c r="BA37" s="383"/>
      <c r="BB37" s="383"/>
      <c r="BC37" s="383"/>
      <c r="BD37" s="383"/>
      <c r="BE37" s="383"/>
      <c r="BF37" s="383"/>
      <c r="BG37" s="383"/>
      <c r="BH37" s="383"/>
      <c r="BI37" s="383"/>
      <c r="BJ37" s="321"/>
      <c r="BK37" s="321"/>
      <c r="BL37" s="321"/>
      <c r="BM37" s="321"/>
      <c r="BN37" s="321"/>
      <c r="BO37" s="321"/>
      <c r="BP37" s="321"/>
      <c r="BQ37" s="322"/>
      <c r="BR37" s="28"/>
      <c r="BS37" s="28"/>
      <c r="BT37" s="33">
        <f t="shared" si="2"/>
        <v>0</v>
      </c>
    </row>
    <row r="38" spans="1:72" s="253" customFormat="1" hidden="1">
      <c r="A38" s="443"/>
      <c r="B38" s="502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  <c r="AC38" s="383"/>
      <c r="AD38" s="383"/>
      <c r="AE38" s="383"/>
      <c r="AF38" s="383"/>
      <c r="AG38" s="383"/>
      <c r="AH38" s="383"/>
      <c r="AI38" s="383"/>
      <c r="AJ38" s="383"/>
      <c r="AK38" s="383"/>
      <c r="AL38" s="383"/>
      <c r="AM38" s="383"/>
      <c r="AN38" s="383"/>
      <c r="AO38" s="383"/>
      <c r="AP38" s="383"/>
      <c r="AQ38" s="383"/>
      <c r="AR38" s="383"/>
      <c r="AS38" s="383"/>
      <c r="AT38" s="383"/>
      <c r="AU38" s="383"/>
      <c r="AV38" s="383"/>
      <c r="AW38" s="383"/>
      <c r="AX38" s="383"/>
      <c r="AY38" s="383"/>
      <c r="AZ38" s="383"/>
      <c r="BA38" s="383"/>
      <c r="BB38" s="383"/>
      <c r="BC38" s="383"/>
      <c r="BD38" s="383"/>
      <c r="BE38" s="383"/>
      <c r="BF38" s="383"/>
      <c r="BG38" s="383"/>
      <c r="BH38" s="383"/>
      <c r="BI38" s="383"/>
      <c r="BJ38" s="321"/>
      <c r="BK38" s="321"/>
      <c r="BL38" s="321"/>
      <c r="BM38" s="321"/>
      <c r="BN38" s="321"/>
      <c r="BO38" s="321"/>
      <c r="BP38" s="321"/>
      <c r="BQ38" s="322"/>
      <c r="BR38" s="28"/>
      <c r="BS38" s="28"/>
      <c r="BT38" s="33">
        <f t="shared" si="2"/>
        <v>0</v>
      </c>
    </row>
    <row r="39" spans="1:72" s="253" customFormat="1" hidden="1">
      <c r="A39" s="443"/>
      <c r="B39" s="502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3"/>
      <c r="AI39" s="383"/>
      <c r="AJ39" s="383"/>
      <c r="AK39" s="383"/>
      <c r="AL39" s="383"/>
      <c r="AM39" s="383"/>
      <c r="AN39" s="383"/>
      <c r="AO39" s="383"/>
      <c r="AP39" s="383"/>
      <c r="AQ39" s="383"/>
      <c r="AR39" s="383"/>
      <c r="AS39" s="383"/>
      <c r="AT39" s="383"/>
      <c r="AU39" s="383"/>
      <c r="AV39" s="383"/>
      <c r="AW39" s="383"/>
      <c r="AX39" s="383"/>
      <c r="AY39" s="383"/>
      <c r="AZ39" s="383"/>
      <c r="BA39" s="383"/>
      <c r="BB39" s="383"/>
      <c r="BC39" s="383"/>
      <c r="BD39" s="383"/>
      <c r="BE39" s="383"/>
      <c r="BF39" s="383"/>
      <c r="BG39" s="383"/>
      <c r="BH39" s="383"/>
      <c r="BI39" s="383"/>
      <c r="BJ39" s="321"/>
      <c r="BK39" s="321"/>
      <c r="BL39" s="321"/>
      <c r="BM39" s="321"/>
      <c r="BN39" s="321"/>
      <c r="BO39" s="321"/>
      <c r="BP39" s="321"/>
      <c r="BQ39" s="322"/>
      <c r="BR39" s="28"/>
      <c r="BS39" s="28"/>
      <c r="BT39" s="33">
        <f t="shared" ref="BT39:BT44" si="3">SUM(C39:BP39)</f>
        <v>0</v>
      </c>
    </row>
    <row r="40" spans="1:72" s="253" customFormat="1" hidden="1">
      <c r="A40" s="443"/>
      <c r="B40" s="502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  <c r="AC40" s="383"/>
      <c r="AD40" s="383"/>
      <c r="AE40" s="383"/>
      <c r="AF40" s="383"/>
      <c r="AG40" s="383"/>
      <c r="AH40" s="383"/>
      <c r="AI40" s="383"/>
      <c r="AJ40" s="383"/>
      <c r="AK40" s="383"/>
      <c r="AL40" s="383"/>
      <c r="AM40" s="383"/>
      <c r="AN40" s="383"/>
      <c r="AO40" s="383"/>
      <c r="AP40" s="383"/>
      <c r="AQ40" s="383"/>
      <c r="AR40" s="383"/>
      <c r="AS40" s="383"/>
      <c r="AT40" s="383"/>
      <c r="AU40" s="383"/>
      <c r="AV40" s="383"/>
      <c r="AW40" s="383"/>
      <c r="AX40" s="383"/>
      <c r="AY40" s="383"/>
      <c r="AZ40" s="383"/>
      <c r="BA40" s="383"/>
      <c r="BB40" s="383"/>
      <c r="BC40" s="383"/>
      <c r="BD40" s="383"/>
      <c r="BE40" s="383"/>
      <c r="BF40" s="383"/>
      <c r="BG40" s="383"/>
      <c r="BH40" s="383"/>
      <c r="BI40" s="383"/>
      <c r="BJ40" s="321"/>
      <c r="BK40" s="321"/>
      <c r="BL40" s="321"/>
      <c r="BM40" s="321"/>
      <c r="BN40" s="321"/>
      <c r="BO40" s="321"/>
      <c r="BP40" s="321"/>
      <c r="BQ40" s="322"/>
      <c r="BR40" s="28"/>
      <c r="BS40" s="28"/>
      <c r="BT40" s="33">
        <f t="shared" si="3"/>
        <v>0</v>
      </c>
    </row>
    <row r="41" spans="1:72" s="253" customFormat="1" hidden="1">
      <c r="A41" s="448"/>
      <c r="B41" s="50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  <c r="AC41" s="383"/>
      <c r="AD41" s="383"/>
      <c r="AE41" s="383"/>
      <c r="AF41" s="383"/>
      <c r="AG41" s="383"/>
      <c r="AH41" s="383"/>
      <c r="AI41" s="383"/>
      <c r="AJ41" s="383"/>
      <c r="AK41" s="383"/>
      <c r="AL41" s="383"/>
      <c r="AM41" s="383"/>
      <c r="AN41" s="383"/>
      <c r="AO41" s="383"/>
      <c r="AP41" s="383"/>
      <c r="AQ41" s="383"/>
      <c r="AR41" s="383"/>
      <c r="AS41" s="383"/>
      <c r="AT41" s="383"/>
      <c r="AU41" s="383"/>
      <c r="AV41" s="383"/>
      <c r="AW41" s="383"/>
      <c r="AX41" s="383"/>
      <c r="AY41" s="383"/>
      <c r="AZ41" s="383"/>
      <c r="BA41" s="383"/>
      <c r="BB41" s="383"/>
      <c r="BC41" s="383"/>
      <c r="BD41" s="383"/>
      <c r="BE41" s="383"/>
      <c r="BF41" s="383"/>
      <c r="BG41" s="383"/>
      <c r="BH41" s="383"/>
      <c r="BI41" s="383"/>
      <c r="BJ41" s="321"/>
      <c r="BK41" s="321"/>
      <c r="BL41" s="321"/>
      <c r="BM41" s="321"/>
      <c r="BN41" s="321"/>
      <c r="BO41" s="321"/>
      <c r="BP41" s="321"/>
      <c r="BQ41" s="322"/>
      <c r="BR41" s="28"/>
      <c r="BS41" s="28"/>
      <c r="BT41" s="33">
        <f t="shared" si="3"/>
        <v>0</v>
      </c>
    </row>
    <row r="42" spans="1:72" s="253" customFormat="1" hidden="1">
      <c r="A42" s="448"/>
      <c r="B42" s="502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  <c r="AC42" s="383"/>
      <c r="AD42" s="383"/>
      <c r="AE42" s="383"/>
      <c r="AF42" s="383"/>
      <c r="AG42" s="383"/>
      <c r="AH42" s="383"/>
      <c r="AI42" s="383"/>
      <c r="AJ42" s="383"/>
      <c r="AK42" s="383"/>
      <c r="AL42" s="383"/>
      <c r="AM42" s="383"/>
      <c r="AN42" s="383"/>
      <c r="AO42" s="383"/>
      <c r="AP42" s="383"/>
      <c r="AQ42" s="383"/>
      <c r="AR42" s="383"/>
      <c r="AS42" s="383"/>
      <c r="AT42" s="383"/>
      <c r="AU42" s="383"/>
      <c r="AV42" s="383"/>
      <c r="AW42" s="383"/>
      <c r="AX42" s="383"/>
      <c r="AY42" s="383"/>
      <c r="AZ42" s="383"/>
      <c r="BA42" s="383"/>
      <c r="BB42" s="383"/>
      <c r="BC42" s="383"/>
      <c r="BD42" s="383"/>
      <c r="BE42" s="383"/>
      <c r="BF42" s="383"/>
      <c r="BG42" s="383"/>
      <c r="BH42" s="383"/>
      <c r="BI42" s="383"/>
      <c r="BJ42" s="321"/>
      <c r="BK42" s="321"/>
      <c r="BL42" s="321"/>
      <c r="BM42" s="321"/>
      <c r="BN42" s="321"/>
      <c r="BO42" s="321"/>
      <c r="BP42" s="321"/>
      <c r="BQ42" s="322"/>
      <c r="BR42" s="28"/>
      <c r="BS42" s="28"/>
      <c r="BT42" s="33">
        <f t="shared" si="3"/>
        <v>0</v>
      </c>
    </row>
    <row r="43" spans="1:72" s="253" customFormat="1" hidden="1">
      <c r="A43" s="445"/>
      <c r="B43" s="502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3"/>
      <c r="AF43" s="383"/>
      <c r="AG43" s="383"/>
      <c r="AH43" s="383"/>
      <c r="AI43" s="383"/>
      <c r="AJ43" s="383"/>
      <c r="AK43" s="383"/>
      <c r="AL43" s="383"/>
      <c r="AM43" s="383"/>
      <c r="AN43" s="383"/>
      <c r="AO43" s="383"/>
      <c r="AP43" s="383"/>
      <c r="AQ43" s="383"/>
      <c r="AR43" s="383"/>
      <c r="AS43" s="383"/>
      <c r="AT43" s="383"/>
      <c r="AU43" s="383"/>
      <c r="AV43" s="383"/>
      <c r="AW43" s="383"/>
      <c r="AX43" s="383"/>
      <c r="AY43" s="383"/>
      <c r="AZ43" s="383"/>
      <c r="BA43" s="383"/>
      <c r="BB43" s="383"/>
      <c r="BC43" s="383"/>
      <c r="BD43" s="383"/>
      <c r="BE43" s="383"/>
      <c r="BF43" s="383"/>
      <c r="BG43" s="383"/>
      <c r="BH43" s="383"/>
      <c r="BI43" s="383"/>
      <c r="BJ43" s="321"/>
      <c r="BK43" s="321"/>
      <c r="BL43" s="321"/>
      <c r="BM43" s="321"/>
      <c r="BN43" s="321"/>
      <c r="BO43" s="321"/>
      <c r="BP43" s="321"/>
      <c r="BQ43" s="322"/>
      <c r="BR43" s="28"/>
      <c r="BS43" s="28"/>
      <c r="BT43" s="33">
        <f t="shared" si="3"/>
        <v>0</v>
      </c>
    </row>
    <row r="44" spans="1:72" s="253" customFormat="1" hidden="1">
      <c r="A44" s="444"/>
      <c r="B44" s="502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  <c r="AH44" s="383"/>
      <c r="AI44" s="383"/>
      <c r="AJ44" s="383"/>
      <c r="AK44" s="383"/>
      <c r="AL44" s="383"/>
      <c r="AM44" s="383"/>
      <c r="AN44" s="383"/>
      <c r="AO44" s="383"/>
      <c r="AP44" s="383"/>
      <c r="AQ44" s="383"/>
      <c r="AR44" s="383"/>
      <c r="AS44" s="383"/>
      <c r="AT44" s="383"/>
      <c r="AU44" s="383"/>
      <c r="AV44" s="383"/>
      <c r="AW44" s="383"/>
      <c r="AX44" s="383"/>
      <c r="AY44" s="383"/>
      <c r="AZ44" s="383"/>
      <c r="BA44" s="383"/>
      <c r="BB44" s="383"/>
      <c r="BC44" s="383"/>
      <c r="BD44" s="383"/>
      <c r="BE44" s="383"/>
      <c r="BF44" s="383"/>
      <c r="BG44" s="383"/>
      <c r="BH44" s="383"/>
      <c r="BI44" s="383"/>
      <c r="BJ44" s="321"/>
      <c r="BK44" s="321"/>
      <c r="BL44" s="321"/>
      <c r="BM44" s="321"/>
      <c r="BN44" s="321"/>
      <c r="BO44" s="321"/>
      <c r="BP44" s="321"/>
      <c r="BQ44" s="322"/>
      <c r="BR44" s="28"/>
      <c r="BS44" s="28"/>
      <c r="BT44" s="33">
        <f t="shared" si="3"/>
        <v>0</v>
      </c>
    </row>
    <row r="45" spans="1:72" s="253" customFormat="1" hidden="1">
      <c r="A45" s="444"/>
      <c r="B45" s="502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  <c r="AC45" s="383"/>
      <c r="AD45" s="383"/>
      <c r="AE45" s="383"/>
      <c r="AF45" s="383"/>
      <c r="AG45" s="383"/>
      <c r="AH45" s="383"/>
      <c r="AI45" s="383"/>
      <c r="AJ45" s="383"/>
      <c r="AK45" s="383"/>
      <c r="AL45" s="383"/>
      <c r="AM45" s="383"/>
      <c r="AN45" s="383"/>
      <c r="AO45" s="383"/>
      <c r="AP45" s="383"/>
      <c r="AQ45" s="383"/>
      <c r="AR45" s="383"/>
      <c r="AS45" s="383"/>
      <c r="AT45" s="383"/>
      <c r="AU45" s="383"/>
      <c r="AV45" s="383"/>
      <c r="AW45" s="383"/>
      <c r="AX45" s="383"/>
      <c r="AY45" s="383"/>
      <c r="AZ45" s="383"/>
      <c r="BA45" s="383"/>
      <c r="BB45" s="383"/>
      <c r="BC45" s="383"/>
      <c r="BD45" s="383"/>
      <c r="BE45" s="383"/>
      <c r="BF45" s="383"/>
      <c r="BG45" s="383"/>
      <c r="BH45" s="383"/>
      <c r="BI45" s="383"/>
      <c r="BJ45" s="321"/>
      <c r="BK45" s="321"/>
      <c r="BL45" s="321"/>
      <c r="BM45" s="321"/>
      <c r="BN45" s="321"/>
      <c r="BO45" s="321"/>
      <c r="BP45" s="321"/>
      <c r="BQ45" s="322"/>
      <c r="BR45" s="28"/>
      <c r="BS45" s="28"/>
      <c r="BT45" s="33">
        <f t="shared" ref="BT45:BT56" si="4">SUM(C45:BP45)</f>
        <v>0</v>
      </c>
    </row>
    <row r="46" spans="1:72" s="253" customFormat="1" hidden="1">
      <c r="A46" s="444"/>
      <c r="B46" s="502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383"/>
      <c r="AE46" s="383"/>
      <c r="AF46" s="383"/>
      <c r="AG46" s="383"/>
      <c r="AH46" s="383"/>
      <c r="AI46" s="383"/>
      <c r="AJ46" s="383"/>
      <c r="AK46" s="383"/>
      <c r="AL46" s="383"/>
      <c r="AM46" s="383"/>
      <c r="AN46" s="383"/>
      <c r="AO46" s="383"/>
      <c r="AP46" s="383"/>
      <c r="AQ46" s="383"/>
      <c r="AR46" s="383"/>
      <c r="AS46" s="383"/>
      <c r="AT46" s="383"/>
      <c r="AU46" s="383"/>
      <c r="AV46" s="383"/>
      <c r="AW46" s="383"/>
      <c r="AX46" s="383"/>
      <c r="AY46" s="383"/>
      <c r="AZ46" s="383"/>
      <c r="BA46" s="383"/>
      <c r="BB46" s="383"/>
      <c r="BC46" s="383"/>
      <c r="BD46" s="383"/>
      <c r="BE46" s="383"/>
      <c r="BF46" s="383"/>
      <c r="BG46" s="383"/>
      <c r="BH46" s="383"/>
      <c r="BI46" s="383"/>
      <c r="BJ46" s="321"/>
      <c r="BK46" s="321"/>
      <c r="BL46" s="321"/>
      <c r="BM46" s="321"/>
      <c r="BN46" s="321"/>
      <c r="BO46" s="321"/>
      <c r="BP46" s="321"/>
      <c r="BQ46" s="322"/>
      <c r="BR46" s="28"/>
      <c r="BS46" s="28"/>
      <c r="BT46" s="33">
        <f t="shared" si="4"/>
        <v>0</v>
      </c>
    </row>
    <row r="47" spans="1:72" s="253" customFormat="1" hidden="1">
      <c r="A47" s="444"/>
      <c r="B47" s="502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  <c r="AC47" s="383"/>
      <c r="AD47" s="383"/>
      <c r="AE47" s="383"/>
      <c r="AF47" s="383"/>
      <c r="AG47" s="383"/>
      <c r="AH47" s="383"/>
      <c r="AI47" s="383"/>
      <c r="AJ47" s="383"/>
      <c r="AK47" s="383"/>
      <c r="AL47" s="383"/>
      <c r="AM47" s="383"/>
      <c r="AN47" s="383"/>
      <c r="AO47" s="383"/>
      <c r="AP47" s="383"/>
      <c r="AQ47" s="383"/>
      <c r="AR47" s="383"/>
      <c r="AS47" s="383"/>
      <c r="AT47" s="383"/>
      <c r="AU47" s="383"/>
      <c r="AV47" s="383"/>
      <c r="AW47" s="383"/>
      <c r="AX47" s="383"/>
      <c r="AY47" s="383"/>
      <c r="AZ47" s="383"/>
      <c r="BA47" s="383"/>
      <c r="BB47" s="383"/>
      <c r="BC47" s="383"/>
      <c r="BD47" s="383"/>
      <c r="BE47" s="383"/>
      <c r="BF47" s="383"/>
      <c r="BG47" s="383"/>
      <c r="BH47" s="383"/>
      <c r="BI47" s="383"/>
      <c r="BJ47" s="321"/>
      <c r="BK47" s="321"/>
      <c r="BL47" s="321"/>
      <c r="BM47" s="321"/>
      <c r="BN47" s="321"/>
      <c r="BO47" s="321"/>
      <c r="BP47" s="321"/>
      <c r="BQ47" s="322" t="s">
        <v>146</v>
      </c>
      <c r="BR47" s="28"/>
      <c r="BS47" s="28"/>
      <c r="BT47" s="33">
        <f t="shared" si="4"/>
        <v>0</v>
      </c>
    </row>
    <row r="48" spans="1:72" s="253" customFormat="1" hidden="1">
      <c r="A48" s="444"/>
      <c r="B48" s="502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  <c r="W48" s="383"/>
      <c r="X48" s="383"/>
      <c r="Y48" s="383"/>
      <c r="Z48" s="383"/>
      <c r="AA48" s="383"/>
      <c r="AB48" s="383"/>
      <c r="AC48" s="383"/>
      <c r="AD48" s="383"/>
      <c r="AE48" s="383"/>
      <c r="AF48" s="383"/>
      <c r="AG48" s="383"/>
      <c r="AH48" s="383"/>
      <c r="AI48" s="383"/>
      <c r="AJ48" s="383"/>
      <c r="AK48" s="383"/>
      <c r="AL48" s="383"/>
      <c r="AM48" s="383"/>
      <c r="AN48" s="383"/>
      <c r="AO48" s="383"/>
      <c r="AP48" s="383"/>
      <c r="AQ48" s="383"/>
      <c r="AR48" s="383"/>
      <c r="AS48" s="383"/>
      <c r="AT48" s="383"/>
      <c r="AU48" s="383"/>
      <c r="AV48" s="383"/>
      <c r="AW48" s="383"/>
      <c r="AX48" s="383"/>
      <c r="AY48" s="383"/>
      <c r="AZ48" s="383"/>
      <c r="BA48" s="383"/>
      <c r="BB48" s="383"/>
      <c r="BC48" s="383"/>
      <c r="BD48" s="383"/>
      <c r="BE48" s="383"/>
      <c r="BF48" s="383"/>
      <c r="BG48" s="383"/>
      <c r="BH48" s="383"/>
      <c r="BI48" s="383"/>
      <c r="BJ48" s="321"/>
      <c r="BK48" s="321"/>
      <c r="BL48" s="321"/>
      <c r="BM48" s="321"/>
      <c r="BN48" s="321"/>
      <c r="BO48" s="321"/>
      <c r="BP48" s="321"/>
      <c r="BQ48" s="322"/>
      <c r="BR48" s="28"/>
      <c r="BS48" s="28"/>
      <c r="BT48" s="33">
        <f t="shared" si="4"/>
        <v>0</v>
      </c>
    </row>
    <row r="49" spans="1:72" s="253" customFormat="1" hidden="1">
      <c r="A49" s="444"/>
      <c r="B49" s="502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3"/>
      <c r="AF49" s="383"/>
      <c r="AG49" s="383"/>
      <c r="AH49" s="383"/>
      <c r="AI49" s="383"/>
      <c r="AJ49" s="383"/>
      <c r="AK49" s="383"/>
      <c r="AL49" s="383"/>
      <c r="AM49" s="383"/>
      <c r="AN49" s="383"/>
      <c r="AO49" s="383"/>
      <c r="AP49" s="383"/>
      <c r="AQ49" s="383"/>
      <c r="AR49" s="383"/>
      <c r="AS49" s="383"/>
      <c r="AT49" s="383"/>
      <c r="AU49" s="383"/>
      <c r="AV49" s="383"/>
      <c r="AW49" s="383"/>
      <c r="AX49" s="383"/>
      <c r="AY49" s="383"/>
      <c r="AZ49" s="383"/>
      <c r="BA49" s="383"/>
      <c r="BB49" s="383"/>
      <c r="BC49" s="383"/>
      <c r="BD49" s="383"/>
      <c r="BE49" s="383"/>
      <c r="BF49" s="383"/>
      <c r="BG49" s="383"/>
      <c r="BH49" s="383"/>
      <c r="BI49" s="383"/>
      <c r="BJ49" s="321"/>
      <c r="BK49" s="321"/>
      <c r="BL49" s="321"/>
      <c r="BM49" s="321"/>
      <c r="BN49" s="321"/>
      <c r="BO49" s="321"/>
      <c r="BP49" s="321"/>
      <c r="BQ49" s="322"/>
      <c r="BR49" s="28"/>
      <c r="BS49" s="28"/>
      <c r="BT49" s="33">
        <f t="shared" si="4"/>
        <v>0</v>
      </c>
    </row>
    <row r="50" spans="1:72" s="253" customFormat="1" hidden="1">
      <c r="A50" s="444"/>
      <c r="B50" s="502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  <c r="AK50" s="383"/>
      <c r="AL50" s="383"/>
      <c r="AM50" s="383"/>
      <c r="AN50" s="383"/>
      <c r="AO50" s="383"/>
      <c r="AP50" s="383"/>
      <c r="AQ50" s="383"/>
      <c r="AR50" s="383"/>
      <c r="AS50" s="383"/>
      <c r="AT50" s="383"/>
      <c r="AU50" s="383"/>
      <c r="AV50" s="383"/>
      <c r="AW50" s="383"/>
      <c r="AX50" s="383"/>
      <c r="AY50" s="383"/>
      <c r="AZ50" s="383"/>
      <c r="BA50" s="383"/>
      <c r="BB50" s="383"/>
      <c r="BC50" s="383"/>
      <c r="BD50" s="383"/>
      <c r="BE50" s="383"/>
      <c r="BF50" s="383"/>
      <c r="BG50" s="383"/>
      <c r="BH50" s="383"/>
      <c r="BI50" s="383"/>
      <c r="BJ50" s="321"/>
      <c r="BK50" s="321"/>
      <c r="BL50" s="321"/>
      <c r="BM50" s="321"/>
      <c r="BN50" s="321"/>
      <c r="BO50" s="321"/>
      <c r="BP50" s="321"/>
      <c r="BQ50" s="322"/>
      <c r="BR50" s="28"/>
      <c r="BS50" s="28"/>
      <c r="BT50" s="33">
        <f t="shared" si="4"/>
        <v>0</v>
      </c>
    </row>
    <row r="51" spans="1:72" s="253" customFormat="1" hidden="1">
      <c r="A51" s="444"/>
      <c r="B51" s="502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  <c r="AK51" s="383"/>
      <c r="AL51" s="383"/>
      <c r="AM51" s="383"/>
      <c r="AN51" s="383"/>
      <c r="AO51" s="383"/>
      <c r="AP51" s="383"/>
      <c r="AQ51" s="383"/>
      <c r="AR51" s="383"/>
      <c r="AS51" s="383"/>
      <c r="AT51" s="383"/>
      <c r="AU51" s="383"/>
      <c r="AV51" s="383"/>
      <c r="AW51" s="383"/>
      <c r="AX51" s="383"/>
      <c r="AY51" s="383"/>
      <c r="AZ51" s="383"/>
      <c r="BA51" s="383"/>
      <c r="BB51" s="383"/>
      <c r="BC51" s="383"/>
      <c r="BD51" s="383"/>
      <c r="BE51" s="383"/>
      <c r="BF51" s="383"/>
      <c r="BG51" s="383"/>
      <c r="BH51" s="383"/>
      <c r="BI51" s="383"/>
      <c r="BJ51" s="321"/>
      <c r="BK51" s="321"/>
      <c r="BL51" s="321"/>
      <c r="BM51" s="321"/>
      <c r="BN51" s="321"/>
      <c r="BO51" s="321"/>
      <c r="BP51" s="321"/>
      <c r="BQ51" s="322"/>
      <c r="BR51" s="28"/>
      <c r="BS51" s="28"/>
      <c r="BT51" s="33">
        <f t="shared" si="4"/>
        <v>0</v>
      </c>
    </row>
    <row r="52" spans="1:72" s="253" customFormat="1" hidden="1">
      <c r="A52" s="444"/>
      <c r="B52" s="502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  <c r="AK52" s="383"/>
      <c r="AL52" s="383"/>
      <c r="AM52" s="383"/>
      <c r="AN52" s="383"/>
      <c r="AO52" s="383"/>
      <c r="AP52" s="383"/>
      <c r="AQ52" s="383"/>
      <c r="AR52" s="383"/>
      <c r="AS52" s="383"/>
      <c r="AT52" s="383"/>
      <c r="AU52" s="383"/>
      <c r="AV52" s="383"/>
      <c r="AW52" s="383"/>
      <c r="AX52" s="383"/>
      <c r="AY52" s="383"/>
      <c r="AZ52" s="383"/>
      <c r="BA52" s="383"/>
      <c r="BB52" s="383"/>
      <c r="BC52" s="383"/>
      <c r="BD52" s="383"/>
      <c r="BE52" s="383"/>
      <c r="BF52" s="383"/>
      <c r="BG52" s="383"/>
      <c r="BH52" s="383"/>
      <c r="BI52" s="383"/>
      <c r="BJ52" s="321"/>
      <c r="BK52" s="321"/>
      <c r="BL52" s="321"/>
      <c r="BM52" s="321"/>
      <c r="BN52" s="321"/>
      <c r="BO52" s="321"/>
      <c r="BP52" s="321"/>
      <c r="BQ52" s="322"/>
      <c r="BR52" s="28"/>
      <c r="BS52" s="28"/>
      <c r="BT52" s="33">
        <f t="shared" si="4"/>
        <v>0</v>
      </c>
    </row>
    <row r="53" spans="1:72" s="253" customFormat="1" hidden="1">
      <c r="A53" s="444"/>
      <c r="B53" s="502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  <c r="AA53" s="383"/>
      <c r="AB53" s="383"/>
      <c r="AC53" s="383"/>
      <c r="AD53" s="383"/>
      <c r="AE53" s="383"/>
      <c r="AF53" s="383"/>
      <c r="AG53" s="383"/>
      <c r="AH53" s="383"/>
      <c r="AI53" s="383"/>
      <c r="AJ53" s="383"/>
      <c r="AK53" s="383"/>
      <c r="AL53" s="383"/>
      <c r="AM53" s="383"/>
      <c r="AN53" s="383"/>
      <c r="AO53" s="383"/>
      <c r="AP53" s="383"/>
      <c r="AQ53" s="383"/>
      <c r="AR53" s="383"/>
      <c r="AS53" s="383"/>
      <c r="AT53" s="383"/>
      <c r="AU53" s="383"/>
      <c r="AV53" s="383"/>
      <c r="AW53" s="383"/>
      <c r="AX53" s="383"/>
      <c r="AY53" s="383"/>
      <c r="AZ53" s="383"/>
      <c r="BA53" s="383"/>
      <c r="BB53" s="383"/>
      <c r="BC53" s="383"/>
      <c r="BD53" s="383"/>
      <c r="BE53" s="383"/>
      <c r="BF53" s="383"/>
      <c r="BG53" s="383"/>
      <c r="BH53" s="383"/>
      <c r="BI53" s="383"/>
      <c r="BJ53" s="321"/>
      <c r="BK53" s="321"/>
      <c r="BL53" s="321"/>
      <c r="BM53" s="321"/>
      <c r="BN53" s="321"/>
      <c r="BO53" s="321"/>
      <c r="BP53" s="321"/>
      <c r="BQ53" s="322"/>
      <c r="BR53" s="28"/>
      <c r="BS53" s="28"/>
      <c r="BT53" s="33">
        <f t="shared" si="4"/>
        <v>0</v>
      </c>
    </row>
    <row r="54" spans="1:72" s="253" customFormat="1" hidden="1">
      <c r="A54" s="444"/>
      <c r="B54" s="502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383"/>
      <c r="AB54" s="383"/>
      <c r="AC54" s="383"/>
      <c r="AD54" s="383"/>
      <c r="AE54" s="383"/>
      <c r="AF54" s="383"/>
      <c r="AG54" s="383"/>
      <c r="AH54" s="383"/>
      <c r="AI54" s="383"/>
      <c r="AJ54" s="383"/>
      <c r="AK54" s="383"/>
      <c r="AL54" s="383"/>
      <c r="AM54" s="383"/>
      <c r="AN54" s="383"/>
      <c r="AO54" s="383"/>
      <c r="AP54" s="383"/>
      <c r="AQ54" s="383"/>
      <c r="AR54" s="383"/>
      <c r="AS54" s="383"/>
      <c r="AT54" s="383"/>
      <c r="AU54" s="383"/>
      <c r="AV54" s="383"/>
      <c r="AW54" s="383"/>
      <c r="AX54" s="383"/>
      <c r="AY54" s="383"/>
      <c r="AZ54" s="383"/>
      <c r="BA54" s="383"/>
      <c r="BB54" s="383"/>
      <c r="BC54" s="383"/>
      <c r="BD54" s="383"/>
      <c r="BE54" s="383"/>
      <c r="BF54" s="383"/>
      <c r="BG54" s="383"/>
      <c r="BH54" s="383"/>
      <c r="BI54" s="383"/>
      <c r="BJ54" s="321"/>
      <c r="BK54" s="321"/>
      <c r="BL54" s="321"/>
      <c r="BM54" s="321"/>
      <c r="BN54" s="321"/>
      <c r="BO54" s="321"/>
      <c r="BP54" s="321"/>
      <c r="BQ54" s="322"/>
      <c r="BR54" s="28"/>
      <c r="BS54" s="28"/>
      <c r="BT54" s="33">
        <f t="shared" si="4"/>
        <v>0</v>
      </c>
    </row>
    <row r="55" spans="1:72" s="253" customFormat="1" ht="7.5" thickBot="1">
      <c r="A55" s="442"/>
      <c r="B55" s="504"/>
      <c r="C55" s="500"/>
      <c r="D55" s="408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8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  <c r="AI55" s="409"/>
      <c r="AJ55" s="409"/>
      <c r="AK55" s="409"/>
      <c r="AL55" s="409"/>
      <c r="AM55" s="409"/>
      <c r="AN55" s="409"/>
      <c r="AO55" s="409"/>
      <c r="AP55" s="409"/>
      <c r="AQ55" s="409"/>
      <c r="AR55" s="409"/>
      <c r="AS55" s="409"/>
      <c r="AT55" s="409"/>
      <c r="AU55" s="409"/>
      <c r="AV55" s="409"/>
      <c r="AW55" s="409"/>
      <c r="AX55" s="409"/>
      <c r="AY55" s="409"/>
      <c r="AZ55" s="409"/>
      <c r="BA55" s="409"/>
      <c r="BB55" s="409"/>
      <c r="BC55" s="409"/>
      <c r="BD55" s="409"/>
      <c r="BE55" s="409"/>
      <c r="BF55" s="409"/>
      <c r="BG55" s="409"/>
      <c r="BH55" s="409"/>
      <c r="BI55" s="409"/>
      <c r="BJ55" s="24"/>
      <c r="BK55" s="24"/>
      <c r="BL55" s="24"/>
      <c r="BM55" s="24"/>
      <c r="BN55" s="24"/>
      <c r="BO55" s="24"/>
      <c r="BP55" s="24"/>
      <c r="BQ55" s="410"/>
      <c r="BR55" s="28"/>
      <c r="BS55" s="28"/>
      <c r="BT55" s="33">
        <f t="shared" si="4"/>
        <v>0</v>
      </c>
    </row>
    <row r="56" spans="1:72" s="253" customFormat="1" ht="11.5" thickTop="1" thickBot="1">
      <c r="B56" s="505" t="s">
        <v>76</v>
      </c>
      <c r="C56" s="501">
        <f t="shared" ref="C56:AH56" si="5">SUM(C5:C55)</f>
        <v>0</v>
      </c>
      <c r="D56" s="405">
        <f t="shared" si="5"/>
        <v>0</v>
      </c>
      <c r="E56" s="406">
        <f t="shared" si="5"/>
        <v>0</v>
      </c>
      <c r="F56" s="406">
        <f t="shared" si="5"/>
        <v>0</v>
      </c>
      <c r="G56" s="406">
        <f t="shared" si="5"/>
        <v>18.25</v>
      </c>
      <c r="H56" s="406">
        <f t="shared" si="5"/>
        <v>153.93</v>
      </c>
      <c r="I56" s="406">
        <f t="shared" si="5"/>
        <v>55.16</v>
      </c>
      <c r="J56" s="406">
        <f t="shared" si="5"/>
        <v>113.37</v>
      </c>
      <c r="K56" s="406">
        <f t="shared" si="5"/>
        <v>0</v>
      </c>
      <c r="L56" s="406">
        <f t="shared" si="5"/>
        <v>0</v>
      </c>
      <c r="M56" s="406">
        <f t="shared" si="5"/>
        <v>0</v>
      </c>
      <c r="N56" s="406">
        <f t="shared" si="5"/>
        <v>0</v>
      </c>
      <c r="O56" s="406">
        <f t="shared" si="5"/>
        <v>0</v>
      </c>
      <c r="P56" s="406">
        <f t="shared" si="5"/>
        <v>0</v>
      </c>
      <c r="Q56" s="406">
        <f t="shared" si="5"/>
        <v>0</v>
      </c>
      <c r="R56" s="406">
        <f t="shared" si="5"/>
        <v>0</v>
      </c>
      <c r="S56" s="405">
        <f t="shared" si="5"/>
        <v>0</v>
      </c>
      <c r="T56" s="406">
        <f t="shared" si="5"/>
        <v>0</v>
      </c>
      <c r="U56" s="406">
        <f t="shared" si="5"/>
        <v>0</v>
      </c>
      <c r="V56" s="406">
        <f t="shared" si="5"/>
        <v>3.9</v>
      </c>
      <c r="W56" s="406">
        <f t="shared" si="5"/>
        <v>165</v>
      </c>
      <c r="X56" s="406">
        <f t="shared" si="5"/>
        <v>0</v>
      </c>
      <c r="Y56" s="406">
        <f t="shared" si="5"/>
        <v>80.97</v>
      </c>
      <c r="Z56" s="406">
        <f t="shared" si="5"/>
        <v>0</v>
      </c>
      <c r="AA56" s="406">
        <f t="shared" si="5"/>
        <v>0</v>
      </c>
      <c r="AB56" s="406">
        <f t="shared" si="5"/>
        <v>0</v>
      </c>
      <c r="AC56" s="406">
        <f t="shared" si="5"/>
        <v>0</v>
      </c>
      <c r="AD56" s="406">
        <f t="shared" si="5"/>
        <v>0</v>
      </c>
      <c r="AE56" s="406">
        <f t="shared" si="5"/>
        <v>0</v>
      </c>
      <c r="AF56" s="406">
        <f t="shared" si="5"/>
        <v>0</v>
      </c>
      <c r="AG56" s="406">
        <f t="shared" si="5"/>
        <v>0</v>
      </c>
      <c r="AH56" s="406">
        <f t="shared" si="5"/>
        <v>0</v>
      </c>
      <c r="AI56" s="406">
        <f t="shared" ref="AI56:BN56" si="6">SUM(AI5:AI55)</f>
        <v>0</v>
      </c>
      <c r="AJ56" s="406">
        <f t="shared" si="6"/>
        <v>0</v>
      </c>
      <c r="AK56" s="406">
        <f t="shared" si="6"/>
        <v>0</v>
      </c>
      <c r="AL56" s="406">
        <f t="shared" si="6"/>
        <v>0</v>
      </c>
      <c r="AM56" s="406">
        <f t="shared" si="6"/>
        <v>0</v>
      </c>
      <c r="AN56" s="406">
        <f t="shared" si="6"/>
        <v>0</v>
      </c>
      <c r="AO56" s="406">
        <f t="shared" si="6"/>
        <v>0</v>
      </c>
      <c r="AP56" s="406">
        <f t="shared" si="6"/>
        <v>0</v>
      </c>
      <c r="AQ56" s="406">
        <f t="shared" si="6"/>
        <v>0</v>
      </c>
      <c r="AR56" s="406">
        <f t="shared" si="6"/>
        <v>0</v>
      </c>
      <c r="AS56" s="406">
        <f t="shared" si="6"/>
        <v>0</v>
      </c>
      <c r="AT56" s="406">
        <f t="shared" si="6"/>
        <v>0</v>
      </c>
      <c r="AU56" s="406">
        <f t="shared" si="6"/>
        <v>0</v>
      </c>
      <c r="AV56" s="406">
        <f t="shared" si="6"/>
        <v>0</v>
      </c>
      <c r="AW56" s="406">
        <f t="shared" si="6"/>
        <v>0</v>
      </c>
      <c r="AX56" s="406">
        <f t="shared" si="6"/>
        <v>0</v>
      </c>
      <c r="AY56" s="406">
        <f t="shared" si="6"/>
        <v>0</v>
      </c>
      <c r="AZ56" s="406">
        <f t="shared" si="6"/>
        <v>0</v>
      </c>
      <c r="BA56" s="406">
        <f t="shared" si="6"/>
        <v>0</v>
      </c>
      <c r="BB56" s="406">
        <f t="shared" si="6"/>
        <v>0</v>
      </c>
      <c r="BC56" s="406">
        <f t="shared" si="6"/>
        <v>0</v>
      </c>
      <c r="BD56" s="406">
        <f t="shared" si="6"/>
        <v>0</v>
      </c>
      <c r="BE56" s="406">
        <f t="shared" si="6"/>
        <v>0</v>
      </c>
      <c r="BF56" s="406">
        <f t="shared" si="6"/>
        <v>0</v>
      </c>
      <c r="BG56" s="406">
        <f t="shared" si="6"/>
        <v>0</v>
      </c>
      <c r="BH56" s="406">
        <f t="shared" si="6"/>
        <v>0</v>
      </c>
      <c r="BI56" s="406">
        <f t="shared" si="6"/>
        <v>0</v>
      </c>
      <c r="BJ56" s="406">
        <f t="shared" si="6"/>
        <v>0</v>
      </c>
      <c r="BK56" s="406">
        <f t="shared" si="6"/>
        <v>0</v>
      </c>
      <c r="BL56" s="406">
        <f t="shared" si="6"/>
        <v>0</v>
      </c>
      <c r="BM56" s="406">
        <f t="shared" si="6"/>
        <v>0</v>
      </c>
      <c r="BN56" s="406">
        <f t="shared" si="6"/>
        <v>0</v>
      </c>
      <c r="BO56" s="406">
        <f>SUM(BO5:BO55)</f>
        <v>0</v>
      </c>
      <c r="BP56" s="406">
        <f>SUM(BP5:BP55)</f>
        <v>0</v>
      </c>
      <c r="BQ56" s="407"/>
      <c r="BR56" s="28"/>
      <c r="BS56" s="28"/>
      <c r="BT56" s="33">
        <f t="shared" si="4"/>
        <v>590.58000000000004</v>
      </c>
    </row>
    <row r="57" spans="1:72" s="253" customFormat="1" ht="7.5" thickTop="1">
      <c r="B57" s="254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28"/>
      <c r="BR57" s="28"/>
      <c r="BS57" s="28"/>
      <c r="BT57" s="30"/>
    </row>
    <row r="58" spans="1:72" s="253" customFormat="1">
      <c r="B58" s="255"/>
    </row>
    <row r="59" spans="1:72" s="253" customFormat="1" hidden="1">
      <c r="B59" s="255"/>
      <c r="C59" s="206" t="str">
        <f t="shared" ref="C59:AG59" si="7">IF(SUM(C5:C56)=0,"HIDE","")</f>
        <v>HIDE</v>
      </c>
      <c r="D59" s="206" t="str">
        <f t="shared" si="7"/>
        <v>HIDE</v>
      </c>
      <c r="E59" s="206" t="str">
        <f t="shared" si="7"/>
        <v>HIDE</v>
      </c>
      <c r="F59" s="206" t="str">
        <f t="shared" si="7"/>
        <v>HIDE</v>
      </c>
      <c r="G59" s="206" t="str">
        <f t="shared" si="7"/>
        <v/>
      </c>
      <c r="H59" s="206" t="str">
        <f t="shared" si="7"/>
        <v/>
      </c>
      <c r="I59" s="206" t="str">
        <f t="shared" si="7"/>
        <v/>
      </c>
      <c r="J59" s="206" t="str">
        <f t="shared" si="7"/>
        <v/>
      </c>
      <c r="K59" s="206" t="str">
        <f t="shared" si="7"/>
        <v>HIDE</v>
      </c>
      <c r="L59" s="206" t="str">
        <f t="shared" si="7"/>
        <v>HIDE</v>
      </c>
      <c r="M59" s="206" t="str">
        <f t="shared" si="7"/>
        <v>HIDE</v>
      </c>
      <c r="N59" s="206" t="str">
        <f t="shared" si="7"/>
        <v>HIDE</v>
      </c>
      <c r="O59" s="206" t="str">
        <f t="shared" si="7"/>
        <v>HIDE</v>
      </c>
      <c r="P59" s="206" t="str">
        <f t="shared" si="7"/>
        <v>HIDE</v>
      </c>
      <c r="Q59" s="206" t="str">
        <f t="shared" si="7"/>
        <v>HIDE</v>
      </c>
      <c r="R59" s="206" t="str">
        <f t="shared" si="7"/>
        <v>HIDE</v>
      </c>
      <c r="S59" s="206" t="str">
        <f t="shared" si="7"/>
        <v>HIDE</v>
      </c>
      <c r="T59" s="206" t="str">
        <f t="shared" si="7"/>
        <v>HIDE</v>
      </c>
      <c r="U59" s="206" t="str">
        <f t="shared" si="7"/>
        <v>HIDE</v>
      </c>
      <c r="V59" s="206" t="str">
        <f t="shared" si="7"/>
        <v/>
      </c>
      <c r="W59" s="206" t="str">
        <f t="shared" si="7"/>
        <v/>
      </c>
      <c r="X59" s="206" t="str">
        <f t="shared" si="7"/>
        <v>HIDE</v>
      </c>
      <c r="Y59" s="206" t="str">
        <f t="shared" si="7"/>
        <v/>
      </c>
      <c r="Z59" s="206" t="str">
        <f t="shared" si="7"/>
        <v>HIDE</v>
      </c>
      <c r="AA59" s="206" t="str">
        <f t="shared" si="7"/>
        <v>HIDE</v>
      </c>
      <c r="AB59" s="206" t="str">
        <f t="shared" si="7"/>
        <v>HIDE</v>
      </c>
      <c r="AC59" s="206" t="str">
        <f t="shared" si="7"/>
        <v>HIDE</v>
      </c>
      <c r="AD59" s="206" t="str">
        <f t="shared" si="7"/>
        <v>HIDE</v>
      </c>
      <c r="AE59" s="206" t="str">
        <f t="shared" si="7"/>
        <v>HIDE</v>
      </c>
      <c r="AF59" s="206" t="str">
        <f t="shared" si="7"/>
        <v>HIDE</v>
      </c>
      <c r="AG59" s="206" t="str">
        <f t="shared" si="7"/>
        <v>HIDE</v>
      </c>
      <c r="AH59" s="206" t="str">
        <f t="shared" ref="AH59:BP59" si="8">IF(SUM(AH5:AH56)=0,"HIDE","")</f>
        <v>HIDE</v>
      </c>
      <c r="AI59" s="206" t="str">
        <f t="shared" si="8"/>
        <v>HIDE</v>
      </c>
      <c r="AJ59" s="206" t="str">
        <f t="shared" si="8"/>
        <v>HIDE</v>
      </c>
      <c r="AK59" s="206" t="str">
        <f t="shared" si="8"/>
        <v>HIDE</v>
      </c>
      <c r="AL59" s="206" t="str">
        <f t="shared" si="8"/>
        <v>HIDE</v>
      </c>
      <c r="AM59" s="206" t="str">
        <f t="shared" si="8"/>
        <v>HIDE</v>
      </c>
      <c r="AN59" s="206" t="str">
        <f t="shared" si="8"/>
        <v>HIDE</v>
      </c>
      <c r="AO59" s="206" t="str">
        <f t="shared" si="8"/>
        <v>HIDE</v>
      </c>
      <c r="AP59" s="206" t="str">
        <f t="shared" si="8"/>
        <v>HIDE</v>
      </c>
      <c r="AQ59" s="206" t="str">
        <f t="shared" si="8"/>
        <v>HIDE</v>
      </c>
      <c r="AR59" s="206" t="str">
        <f t="shared" si="8"/>
        <v>HIDE</v>
      </c>
      <c r="AS59" s="206" t="str">
        <f t="shared" si="8"/>
        <v>HIDE</v>
      </c>
      <c r="AT59" s="206" t="str">
        <f t="shared" si="8"/>
        <v>HIDE</v>
      </c>
      <c r="AU59" s="206" t="str">
        <f t="shared" si="8"/>
        <v>HIDE</v>
      </c>
      <c r="AV59" s="206" t="str">
        <f t="shared" si="8"/>
        <v>HIDE</v>
      </c>
      <c r="AW59" s="206" t="str">
        <f t="shared" si="8"/>
        <v>HIDE</v>
      </c>
      <c r="AX59" s="206" t="str">
        <f t="shared" si="8"/>
        <v>HIDE</v>
      </c>
      <c r="AY59" s="206" t="str">
        <f t="shared" si="8"/>
        <v>HIDE</v>
      </c>
      <c r="AZ59" s="206" t="str">
        <f t="shared" si="8"/>
        <v>HIDE</v>
      </c>
      <c r="BA59" s="206" t="str">
        <f t="shared" si="8"/>
        <v>HIDE</v>
      </c>
      <c r="BB59" s="206" t="str">
        <f t="shared" si="8"/>
        <v>HIDE</v>
      </c>
      <c r="BC59" s="206" t="str">
        <f t="shared" si="8"/>
        <v>HIDE</v>
      </c>
      <c r="BD59" s="206" t="str">
        <f t="shared" si="8"/>
        <v>HIDE</v>
      </c>
      <c r="BE59" s="206" t="str">
        <f>IF(SUM(BE5:BE56)=0,"HIDE","")</f>
        <v>HIDE</v>
      </c>
      <c r="BF59" s="206" t="str">
        <f>IF(SUM(BF5:BF56)=0,"HIDE","")</f>
        <v>HIDE</v>
      </c>
      <c r="BG59" s="206" t="str">
        <f t="shared" si="8"/>
        <v>HIDE</v>
      </c>
      <c r="BH59" s="206" t="str">
        <f t="shared" si="8"/>
        <v>HIDE</v>
      </c>
      <c r="BI59" s="206" t="str">
        <f t="shared" si="8"/>
        <v>HIDE</v>
      </c>
      <c r="BJ59" s="206" t="str">
        <f t="shared" si="8"/>
        <v>HIDE</v>
      </c>
      <c r="BK59" s="206" t="str">
        <f t="shared" si="8"/>
        <v>HIDE</v>
      </c>
      <c r="BL59" s="206" t="str">
        <f t="shared" si="8"/>
        <v>HIDE</v>
      </c>
      <c r="BM59" s="206" t="str">
        <f t="shared" si="8"/>
        <v>HIDE</v>
      </c>
      <c r="BN59" s="206" t="str">
        <f t="shared" si="8"/>
        <v>HIDE</v>
      </c>
      <c r="BO59" s="206" t="str">
        <f t="shared" si="8"/>
        <v>HIDE</v>
      </c>
      <c r="BP59" s="206" t="str">
        <f t="shared" si="8"/>
        <v>HIDE</v>
      </c>
      <c r="BQ59" s="206"/>
      <c r="BR59" s="206"/>
      <c r="BT59" s="253">
        <f>SUM(BT5:BT55)</f>
        <v>590.58000000000004</v>
      </c>
    </row>
    <row r="60" spans="1:72" s="253" customFormat="1" hidden="1">
      <c r="B60" s="256" t="s">
        <v>94</v>
      </c>
      <c r="C60" s="206"/>
    </row>
    <row r="61" spans="1:72" s="253" customFormat="1">
      <c r="B61" s="255"/>
    </row>
    <row r="66" spans="1:72" s="253" customFormat="1">
      <c r="B66" s="255"/>
      <c r="C66" s="206" t="str">
        <f t="shared" ref="C66:AG66" si="9">IF(SUM(C5:C63)=0,"HIDE","")</f>
        <v>HIDE</v>
      </c>
      <c r="D66" s="206" t="str">
        <f t="shared" si="9"/>
        <v>HIDE</v>
      </c>
      <c r="E66" s="206" t="str">
        <f t="shared" si="9"/>
        <v>HIDE</v>
      </c>
      <c r="F66" s="206" t="str">
        <f t="shared" si="9"/>
        <v>HIDE</v>
      </c>
      <c r="G66" s="206" t="str">
        <f t="shared" si="9"/>
        <v/>
      </c>
      <c r="H66" s="206" t="str">
        <f t="shared" si="9"/>
        <v/>
      </c>
      <c r="I66" s="206" t="str">
        <f t="shared" si="9"/>
        <v/>
      </c>
      <c r="J66" s="206" t="str">
        <f t="shared" si="9"/>
        <v/>
      </c>
      <c r="K66" s="206" t="str">
        <f t="shared" si="9"/>
        <v>HIDE</v>
      </c>
      <c r="L66" s="206" t="str">
        <f t="shared" si="9"/>
        <v>HIDE</v>
      </c>
      <c r="M66" s="206" t="str">
        <f t="shared" si="9"/>
        <v>HIDE</v>
      </c>
      <c r="N66" s="206" t="str">
        <f t="shared" si="9"/>
        <v>HIDE</v>
      </c>
      <c r="O66" s="206" t="str">
        <f t="shared" si="9"/>
        <v>HIDE</v>
      </c>
      <c r="P66" s="206" t="str">
        <f t="shared" si="9"/>
        <v>HIDE</v>
      </c>
      <c r="Q66" s="206" t="str">
        <f t="shared" si="9"/>
        <v>HIDE</v>
      </c>
      <c r="R66" s="206" t="str">
        <f t="shared" si="9"/>
        <v>HIDE</v>
      </c>
      <c r="S66" s="206" t="str">
        <f t="shared" si="9"/>
        <v>HIDE</v>
      </c>
      <c r="T66" s="206" t="str">
        <f t="shared" si="9"/>
        <v>HIDE</v>
      </c>
      <c r="U66" s="206" t="str">
        <f t="shared" si="9"/>
        <v>HIDE</v>
      </c>
      <c r="V66" s="206" t="str">
        <f t="shared" si="9"/>
        <v/>
      </c>
      <c r="W66" s="206" t="str">
        <f t="shared" si="9"/>
        <v/>
      </c>
      <c r="X66" s="206" t="str">
        <f t="shared" si="9"/>
        <v>HIDE</v>
      </c>
      <c r="Y66" s="206" t="str">
        <f t="shared" si="9"/>
        <v/>
      </c>
      <c r="Z66" s="206" t="str">
        <f t="shared" si="9"/>
        <v>HIDE</v>
      </c>
      <c r="AA66" s="206" t="str">
        <f t="shared" si="9"/>
        <v>HIDE</v>
      </c>
      <c r="AB66" s="206" t="str">
        <f t="shared" si="9"/>
        <v>HIDE</v>
      </c>
      <c r="AC66" s="206" t="str">
        <f t="shared" si="9"/>
        <v>HIDE</v>
      </c>
      <c r="AD66" s="206" t="str">
        <f t="shared" si="9"/>
        <v>HIDE</v>
      </c>
      <c r="AE66" s="206" t="str">
        <f t="shared" si="9"/>
        <v>HIDE</v>
      </c>
      <c r="AF66" s="206" t="str">
        <f t="shared" si="9"/>
        <v>HIDE</v>
      </c>
      <c r="AG66" s="206" t="str">
        <f t="shared" si="9"/>
        <v>HIDE</v>
      </c>
      <c r="AH66" s="206" t="str">
        <f t="shared" ref="AH66:BP66" si="10">IF(SUM(AH5:AH63)=0,"HIDE","")</f>
        <v>HIDE</v>
      </c>
      <c r="AI66" s="206" t="str">
        <f t="shared" si="10"/>
        <v>HIDE</v>
      </c>
      <c r="AJ66" s="206" t="str">
        <f t="shared" si="10"/>
        <v>HIDE</v>
      </c>
      <c r="AK66" s="206" t="str">
        <f t="shared" si="10"/>
        <v>HIDE</v>
      </c>
      <c r="AL66" s="206" t="str">
        <f t="shared" si="10"/>
        <v>HIDE</v>
      </c>
      <c r="AM66" s="206" t="str">
        <f t="shared" si="10"/>
        <v>HIDE</v>
      </c>
      <c r="AN66" s="206" t="str">
        <f t="shared" si="10"/>
        <v>HIDE</v>
      </c>
      <c r="AO66" s="206" t="str">
        <f t="shared" si="10"/>
        <v>HIDE</v>
      </c>
      <c r="AP66" s="206" t="str">
        <f t="shared" si="10"/>
        <v>HIDE</v>
      </c>
      <c r="AQ66" s="206" t="str">
        <f t="shared" si="10"/>
        <v>HIDE</v>
      </c>
      <c r="AR66" s="206" t="str">
        <f t="shared" si="10"/>
        <v>HIDE</v>
      </c>
      <c r="AS66" s="206" t="str">
        <f t="shared" si="10"/>
        <v>HIDE</v>
      </c>
      <c r="AT66" s="206" t="str">
        <f t="shared" si="10"/>
        <v>HIDE</v>
      </c>
      <c r="AU66" s="206" t="str">
        <f t="shared" si="10"/>
        <v>HIDE</v>
      </c>
      <c r="AV66" s="206" t="str">
        <f t="shared" si="10"/>
        <v>HIDE</v>
      </c>
      <c r="AW66" s="206" t="str">
        <f t="shared" si="10"/>
        <v>HIDE</v>
      </c>
      <c r="AX66" s="206" t="str">
        <f t="shared" si="10"/>
        <v>HIDE</v>
      </c>
      <c r="AY66" s="206" t="str">
        <f t="shared" si="10"/>
        <v>HIDE</v>
      </c>
      <c r="AZ66" s="206" t="str">
        <f t="shared" si="10"/>
        <v>HIDE</v>
      </c>
      <c r="BA66" s="206" t="str">
        <f t="shared" si="10"/>
        <v>HIDE</v>
      </c>
      <c r="BB66" s="206" t="str">
        <f t="shared" si="10"/>
        <v>HIDE</v>
      </c>
      <c r="BC66" s="206" t="str">
        <f t="shared" si="10"/>
        <v>HIDE</v>
      </c>
      <c r="BD66" s="206" t="str">
        <f t="shared" si="10"/>
        <v>HIDE</v>
      </c>
      <c r="BE66" s="206" t="str">
        <f>IF(SUM(BE5:BE63)=0,"HIDE","")</f>
        <v>HIDE</v>
      </c>
      <c r="BF66" s="206" t="str">
        <f>IF(SUM(BF5:BF63)=0,"HIDE","")</f>
        <v>HIDE</v>
      </c>
      <c r="BG66" s="206" t="str">
        <f t="shared" si="10"/>
        <v>HIDE</v>
      </c>
      <c r="BH66" s="206" t="str">
        <f t="shared" si="10"/>
        <v>HIDE</v>
      </c>
      <c r="BI66" s="206" t="str">
        <f t="shared" si="10"/>
        <v>HIDE</v>
      </c>
      <c r="BJ66" s="206" t="str">
        <f t="shared" si="10"/>
        <v>HIDE</v>
      </c>
      <c r="BK66" s="206" t="str">
        <f t="shared" si="10"/>
        <v>HIDE</v>
      </c>
      <c r="BL66" s="206" t="str">
        <f t="shared" si="10"/>
        <v>HIDE</v>
      </c>
      <c r="BM66" s="206" t="str">
        <f t="shared" si="10"/>
        <v>HIDE</v>
      </c>
      <c r="BN66" s="206" t="str">
        <f t="shared" si="10"/>
        <v>HIDE</v>
      </c>
      <c r="BO66" s="206" t="str">
        <f t="shared" si="10"/>
        <v>HIDE</v>
      </c>
      <c r="BP66" s="206" t="str">
        <f t="shared" si="10"/>
        <v>HIDE</v>
      </c>
      <c r="BQ66" s="206"/>
      <c r="BR66" s="206"/>
      <c r="BT66" s="253">
        <f>SUM(BT5:BT62)</f>
        <v>1771.7400000000002</v>
      </c>
    </row>
    <row r="67" spans="1:72" s="253" customFormat="1">
      <c r="B67" s="256" t="s">
        <v>94</v>
      </c>
      <c r="C67" s="206"/>
    </row>
    <row r="71" spans="1:72">
      <c r="A71"/>
    </row>
    <row r="89" spans="1:72">
      <c r="A89"/>
      <c r="B89" s="10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</row>
    <row r="90" spans="1:72">
      <c r="A90"/>
      <c r="B90" s="10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</row>
    <row r="91" spans="1:72">
      <c r="A91"/>
      <c r="B91" s="10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</row>
  </sheetData>
  <phoneticPr fontId="9" type="noConversion"/>
  <pageMargins left="0.35433070866141736" right="0.35433070866141736" top="0.19685039370078741" bottom="0.27559055118110237" header="0" footer="0.27559055118110237"/>
  <pageSetup paperSize="9" scale="150" orientation="landscape" verticalDpi="4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Z160"/>
  <sheetViews>
    <sheetView showZeros="0" workbookViewId="0">
      <selection activeCell="B43" sqref="B43"/>
    </sheetView>
  </sheetViews>
  <sheetFormatPr defaultColWidth="16" defaultRowHeight="7"/>
  <cols>
    <col min="1" max="1" width="53" style="1" customWidth="1"/>
    <col min="2" max="9" width="11" style="1" customWidth="1"/>
    <col min="10" max="18" width="11" style="1" hidden="1" customWidth="1"/>
    <col min="19" max="20" width="2" style="1" customWidth="1"/>
    <col min="21" max="21" width="23" style="1" customWidth="1"/>
    <col min="22" max="22" width="11" style="1" customWidth="1"/>
    <col min="23" max="24" width="11" style="1" hidden="1" customWidth="1"/>
    <col min="25" max="25" width="2" style="1" customWidth="1"/>
    <col min="26" max="26" width="16" style="1" customWidth="1"/>
    <col min="27" max="27" width="16" style="1" hidden="1" customWidth="1"/>
    <col min="28" max="16384" width="16" style="1"/>
  </cols>
  <sheetData>
    <row r="1" spans="1:208" ht="36" thickTop="1" thickBot="1">
      <c r="A1" s="189" t="str">
        <f>Summary!$A$2</f>
        <v>OLYMPIC 2022 FINAL ACCOUNTS</v>
      </c>
      <c r="O1" s="191" t="str">
        <f>Summary!$T$2</f>
        <v>21 February 2023</v>
      </c>
      <c r="Y1" s="640" t="str">
        <f>Summary!$T$2</f>
        <v>21 February 2023</v>
      </c>
      <c r="AA1" s="183">
        <f>SUM(AA6:AA72)</f>
        <v>0</v>
      </c>
    </row>
    <row r="2" spans="1:208" ht="38.25" customHeight="1" thickTop="1">
      <c r="A2" s="194" t="s">
        <v>97</v>
      </c>
      <c r="O2" s="191"/>
    </row>
    <row r="3" spans="1:208" ht="18.75" customHeight="1" thickBot="1">
      <c r="A3" s="189"/>
      <c r="H3" s="190"/>
      <c r="O3" s="191"/>
    </row>
    <row r="4" spans="1:208" ht="8" hidden="1" thickTop="1" thickBot="1">
      <c r="A4" s="12" t="s">
        <v>64</v>
      </c>
      <c r="F4" s="168" t="s">
        <v>90</v>
      </c>
      <c r="G4" s="169"/>
      <c r="K4" s="168" t="s">
        <v>91</v>
      </c>
      <c r="L4" s="228"/>
      <c r="M4" s="169"/>
    </row>
    <row r="5" spans="1:208" ht="8" hidden="1" thickTop="1" thickBot="1">
      <c r="A5" s="8"/>
      <c r="B5" s="343"/>
      <c r="C5" s="397"/>
      <c r="D5" s="61"/>
      <c r="E5" s="14"/>
      <c r="F5" s="245"/>
      <c r="G5" s="397"/>
      <c r="H5" s="16"/>
      <c r="I5" s="61"/>
      <c r="K5" s="8"/>
      <c r="L5" s="135"/>
      <c r="M5" s="16"/>
      <c r="N5" s="61"/>
      <c r="R5" s="14"/>
      <c r="S5" s="14"/>
      <c r="T5" s="14"/>
      <c r="U5" s="14"/>
      <c r="V5" s="14"/>
      <c r="W5" s="14"/>
      <c r="X5" s="14"/>
      <c r="Y5" s="14"/>
      <c r="AA5" s="14"/>
    </row>
    <row r="6" spans="1:208" ht="8" hidden="1" thickTop="1" thickBot="1">
      <c r="A6" s="7"/>
      <c r="B6" s="400"/>
      <c r="C6" s="398"/>
      <c r="D6" s="137"/>
      <c r="E6" s="14"/>
      <c r="F6" s="403"/>
      <c r="G6" s="398"/>
      <c r="H6" s="22"/>
      <c r="I6" s="137"/>
      <c r="K6" s="7"/>
      <c r="L6" s="136"/>
      <c r="M6" s="22"/>
      <c r="N6" s="137"/>
      <c r="R6" s="14"/>
      <c r="S6" s="14"/>
      <c r="T6" s="14"/>
      <c r="U6" s="14"/>
      <c r="V6" s="14"/>
      <c r="W6" s="14"/>
      <c r="X6" s="14"/>
      <c r="Y6" s="14"/>
      <c r="AA6" s="167">
        <f>SUM(B9:F9)</f>
        <v>0</v>
      </c>
    </row>
    <row r="7" spans="1:208" s="166" customFormat="1" ht="8" hidden="1" thickTop="1" thickBot="1">
      <c r="A7" s="164"/>
      <c r="B7" s="401"/>
      <c r="C7" s="399"/>
      <c r="D7" s="165"/>
      <c r="E7" s="170"/>
      <c r="F7" s="404"/>
      <c r="G7" s="271"/>
      <c r="H7" s="173"/>
      <c r="I7" s="174"/>
      <c r="K7" s="171"/>
      <c r="L7" s="172"/>
      <c r="M7" s="173"/>
      <c r="N7" s="174"/>
      <c r="R7" s="170"/>
      <c r="S7" s="170"/>
      <c r="T7" s="170"/>
      <c r="U7" s="170"/>
      <c r="V7" s="170"/>
      <c r="W7" s="170"/>
      <c r="X7" s="170"/>
      <c r="Y7" s="170"/>
      <c r="Z7" s="170"/>
      <c r="AA7" s="167">
        <f>SUM(H9:L9)</f>
        <v>0</v>
      </c>
    </row>
    <row r="8" spans="1:208" s="179" customFormat="1" ht="8" hidden="1" thickTop="1" thickBot="1">
      <c r="A8" s="175" t="s">
        <v>66</v>
      </c>
      <c r="B8" s="402" t="str">
        <f>IF(B7=0,"","post bal.")</f>
        <v/>
      </c>
      <c r="C8" s="314" t="str">
        <f>IF(C7=0,"","post bal.")</f>
        <v/>
      </c>
      <c r="D8" s="315" t="str">
        <f>IF(D7=0,"","post bal.")</f>
        <v/>
      </c>
      <c r="F8" s="402" t="str">
        <f>IF(F7=0,"","post bal.")</f>
        <v/>
      </c>
      <c r="G8" s="314" t="str">
        <f>IF(G7=0,"","post bal.")</f>
        <v/>
      </c>
      <c r="H8" s="314" t="str">
        <f>IF(H7=0,"","post bal.")</f>
        <v/>
      </c>
      <c r="I8" s="315" t="str">
        <f>IF(I7=0,"","post bal.")</f>
        <v/>
      </c>
      <c r="K8" s="181" t="s">
        <v>67</v>
      </c>
      <c r="L8" s="176"/>
      <c r="M8" s="177"/>
      <c r="N8" s="178"/>
      <c r="AA8" s="180">
        <f>SUM(N9:R9)</f>
        <v>0</v>
      </c>
    </row>
    <row r="9" spans="1:208" ht="7.5" hidden="1" thickTop="1">
      <c r="A9" s="3"/>
      <c r="B9" s="105">
        <f>IF(B8="post bal.",B7,0)</f>
        <v>0</v>
      </c>
      <c r="C9" s="105">
        <f>IF(C8="post bal.",C7,0)</f>
        <v>0</v>
      </c>
      <c r="D9" s="105">
        <f t="shared" ref="D9:R9" si="0">IF(D8="post bal.",D7,0)</f>
        <v>0</v>
      </c>
      <c r="E9" s="3">
        <f t="shared" si="0"/>
        <v>0</v>
      </c>
      <c r="F9" s="105">
        <f t="shared" si="0"/>
        <v>0</v>
      </c>
      <c r="G9" s="105">
        <f t="shared" si="0"/>
        <v>0</v>
      </c>
      <c r="H9" s="105">
        <f t="shared" si="0"/>
        <v>0</v>
      </c>
      <c r="I9" s="105">
        <f t="shared" si="0"/>
        <v>0</v>
      </c>
      <c r="J9" s="3">
        <f>IF(H8="post bal.",H7,0)</f>
        <v>0</v>
      </c>
      <c r="K9" s="105">
        <f>IF(K8="post bal.",K7,0)</f>
        <v>0</v>
      </c>
      <c r="L9" s="105">
        <f>IF(L8="post bal.",L7,0)</f>
        <v>0</v>
      </c>
      <c r="M9" s="105">
        <f>IF(M8="post bal.",M7,0)</f>
        <v>0</v>
      </c>
      <c r="N9" s="105">
        <f>IF(N8="post bal.",N7,0)</f>
        <v>0</v>
      </c>
      <c r="O9" s="3">
        <f>IF(L8="post bal.",L7,0)</f>
        <v>0</v>
      </c>
      <c r="P9" s="3">
        <f>IF(M8="post bal.",M7,0)</f>
        <v>0</v>
      </c>
      <c r="Q9" s="3">
        <f>IF(N8="post bal.",N7,0)</f>
        <v>0</v>
      </c>
      <c r="R9" s="3">
        <f t="shared" si="0"/>
        <v>0</v>
      </c>
    </row>
    <row r="10" spans="1:208" ht="8" hidden="1" thickTop="1" thickBot="1">
      <c r="F10" s="44"/>
    </row>
    <row r="11" spans="1:208" ht="11.5" thickTop="1" thickBot="1">
      <c r="A11" s="11" t="s">
        <v>9</v>
      </c>
      <c r="E11" s="420"/>
      <c r="F11" s="420"/>
      <c r="AA11" s="14"/>
    </row>
    <row r="12" spans="1:208" ht="7.5" thickTop="1">
      <c r="A12" s="79" t="s">
        <v>68</v>
      </c>
      <c r="B12" s="455" t="s">
        <v>173</v>
      </c>
      <c r="C12" s="455"/>
      <c r="D12" s="512"/>
      <c r="E12" s="455"/>
      <c r="F12" s="474"/>
      <c r="G12" s="17"/>
      <c r="H12" s="13"/>
      <c r="I12" s="13"/>
      <c r="J12" s="13"/>
      <c r="K12" s="13"/>
      <c r="L12" s="17"/>
      <c r="M12" s="17"/>
      <c r="N12" s="17"/>
      <c r="O12" s="17"/>
      <c r="P12" s="17"/>
      <c r="Q12" s="17"/>
      <c r="R12" s="23"/>
      <c r="S12" s="134"/>
      <c r="T12" s="138"/>
      <c r="U12" s="138"/>
      <c r="V12" s="138"/>
      <c r="W12" s="138"/>
      <c r="X12" s="138"/>
      <c r="Z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</row>
    <row r="13" spans="1:208">
      <c r="A13" s="7" t="s">
        <v>69</v>
      </c>
      <c r="B13" s="78">
        <v>44553</v>
      </c>
      <c r="C13" s="78"/>
      <c r="D13" s="210"/>
      <c r="E13" s="483"/>
      <c r="F13" s="80"/>
      <c r="G13" s="78"/>
      <c r="H13" s="78"/>
      <c r="I13" s="78"/>
      <c r="J13" s="78"/>
      <c r="K13" s="78"/>
      <c r="L13" s="80"/>
      <c r="M13" s="80"/>
      <c r="N13" s="80"/>
      <c r="O13" s="80"/>
      <c r="P13" s="54"/>
      <c r="Q13" s="54"/>
      <c r="R13" s="138"/>
      <c r="S13" s="55"/>
      <c r="T13" s="138"/>
      <c r="U13" s="138"/>
      <c r="V13" s="138"/>
      <c r="W13" s="138"/>
      <c r="X13" s="138"/>
    </row>
    <row r="14" spans="1:208">
      <c r="A14" s="94" t="s">
        <v>12</v>
      </c>
      <c r="B14" s="456">
        <v>6</v>
      </c>
      <c r="C14" s="456"/>
      <c r="D14" s="465"/>
      <c r="E14" s="456"/>
      <c r="F14" s="475"/>
      <c r="G14" s="96"/>
      <c r="H14" s="96"/>
      <c r="I14" s="96"/>
      <c r="J14" s="95"/>
      <c r="K14" s="95"/>
      <c r="L14" s="95"/>
      <c r="M14" s="95"/>
      <c r="N14" s="19"/>
      <c r="O14" s="19"/>
      <c r="P14" s="19"/>
      <c r="Q14" s="19"/>
      <c r="R14" s="21"/>
      <c r="S14" s="6"/>
    </row>
    <row r="15" spans="1:208" ht="7.5" thickBot="1">
      <c r="A15" s="98" t="s">
        <v>13</v>
      </c>
      <c r="B15" s="457">
        <v>7</v>
      </c>
      <c r="C15" s="457"/>
      <c r="D15" s="466"/>
      <c r="E15" s="457"/>
      <c r="F15" s="476"/>
      <c r="G15" s="99"/>
      <c r="H15" s="99"/>
      <c r="I15" s="99"/>
      <c r="J15" s="89"/>
      <c r="K15" s="89"/>
      <c r="L15" s="89"/>
      <c r="M15" s="89"/>
      <c r="N15" s="70"/>
      <c r="O15" s="70"/>
      <c r="P15" s="70"/>
      <c r="Q15" s="70"/>
      <c r="R15" s="71"/>
      <c r="S15" s="26"/>
    </row>
    <row r="16" spans="1:208" s="244" customFormat="1" ht="8" hidden="1" thickTop="1" thickBot="1">
      <c r="A16" s="242" t="s">
        <v>113</v>
      </c>
      <c r="B16" s="243">
        <v>44168</v>
      </c>
      <c r="C16" s="458"/>
      <c r="D16" s="467"/>
      <c r="E16" s="458"/>
      <c r="F16" s="477"/>
      <c r="G16" s="243">
        <f>IF(OR(ISTEXT(G13),G13=0),Summary!$E$1-7,G13-MOD(G13-Summary!$E$1,7))</f>
        <v>44679</v>
      </c>
      <c r="H16" s="243">
        <f>IF(OR(ISTEXT(H13),H13=0),Summary!$E$1-7,H13-MOD(H13-Summary!$E$1,7))</f>
        <v>44679</v>
      </c>
      <c r="I16" s="243">
        <f>IF(OR(ISTEXT(I13),I13=0),Summary!$E$1-7,I13-MOD(I13-Summary!$E$1,7))</f>
        <v>44679</v>
      </c>
      <c r="J16" s="243">
        <f>IF(OR(ISTEXT(J13),J13=0),Summary!$E$1-7,J13-MOD(J13-Summary!$E$1,7))</f>
        <v>44679</v>
      </c>
      <c r="K16" s="243">
        <f>IF(OR(ISTEXT(K13),K13=0),Summary!$E$1-7,K13-MOD(K13-Summary!$E$1,7))</f>
        <v>44679</v>
      </c>
      <c r="L16" s="243">
        <f>IF(OR(ISTEXT(L13),L13=0),Summary!$E$1-7,L13-MOD(L13-Summary!$E$1,7))</f>
        <v>44679</v>
      </c>
      <c r="M16" s="243">
        <f>IF(OR(ISTEXT(M13),M13=0),Summary!$E$1-7,M13-MOD(M13-Summary!$E$1,7))</f>
        <v>44679</v>
      </c>
      <c r="N16" s="243">
        <f>IF(OR(ISTEXT(N13),N13=0),Summary!$E$1-7,N13-MOD(N13-Summary!$E$1,7))</f>
        <v>44679</v>
      </c>
      <c r="O16" s="243">
        <f>IF(OR(ISTEXT(O13),O13=0),Summary!$E$1-7,O13-MOD(O13-Summary!$E$1,7))</f>
        <v>44679</v>
      </c>
      <c r="P16" s="243">
        <f>IF(OR(ISTEXT(P13),P13=0),Summary!$E$1-7,P13-MOD(P13-Summary!$E$1,7))</f>
        <v>44679</v>
      </c>
      <c r="Q16" s="243">
        <f>IF(OR(ISTEXT(Q13),Q13=0),Summary!$E$1-7,Q13-MOD(Q13-Summary!$E$1,7))</f>
        <v>44679</v>
      </c>
      <c r="R16" s="263">
        <f>IF(OR(ISTEXT(R13),R13=0),Summary!$E$1-7,R13-MOD(R13-Summary!$E$1,7))</f>
        <v>44679</v>
      </c>
      <c r="S16" s="645">
        <f>IF(OR(ISTEXT(S13),S13=0),Summary!$E$1-7,S13-MOD(S13-Summary!$E$1,7))</f>
        <v>44679</v>
      </c>
    </row>
    <row r="17" spans="1:27" s="244" customFormat="1" ht="8" hidden="1" thickTop="1" thickBot="1">
      <c r="A17" s="236" t="s">
        <v>125</v>
      </c>
      <c r="B17" s="416" t="b">
        <v>0</v>
      </c>
      <c r="C17" s="95" t="b">
        <v>0</v>
      </c>
      <c r="D17" s="97"/>
      <c r="E17" s="95"/>
      <c r="F17" s="416"/>
      <c r="G17" s="288" t="b">
        <f t="shared" ref="G17:R17" si="1">OR(ISNUMBER(HLOOKUP(G16,G53:AD54,2)),ISNUMBER(HLOOKUP(G16,G94:AD95,2)))</f>
        <v>0</v>
      </c>
      <c r="H17" s="288" t="b">
        <f t="shared" si="1"/>
        <v>0</v>
      </c>
      <c r="I17" s="288" t="b">
        <f t="shared" si="1"/>
        <v>0</v>
      </c>
      <c r="J17" s="288" t="b">
        <f t="shared" si="1"/>
        <v>0</v>
      </c>
      <c r="K17" s="288" t="b">
        <f t="shared" si="1"/>
        <v>0</v>
      </c>
      <c r="L17" s="288" t="b">
        <f t="shared" si="1"/>
        <v>0</v>
      </c>
      <c r="M17" s="288" t="b">
        <f t="shared" si="1"/>
        <v>0</v>
      </c>
      <c r="N17" s="288" t="b">
        <f t="shared" si="1"/>
        <v>0</v>
      </c>
      <c r="O17" s="288" t="b">
        <f t="shared" si="1"/>
        <v>0</v>
      </c>
      <c r="P17" s="288" t="b">
        <f t="shared" si="1"/>
        <v>0</v>
      </c>
      <c r="Q17" s="288" t="b">
        <f t="shared" si="1"/>
        <v>0</v>
      </c>
      <c r="R17" s="510" t="b">
        <f t="shared" si="1"/>
        <v>0</v>
      </c>
      <c r="S17" s="646" t="b">
        <f>OR(ISNUMBER(HLOOKUP(S16,Y53:AP54,2)),ISNUMBER(HLOOKUP(S16,Y94:AP95,2)))</f>
        <v>0</v>
      </c>
      <c r="T17" s="235"/>
      <c r="U17" s="235"/>
      <c r="V17" s="235"/>
      <c r="W17" s="235"/>
      <c r="X17" s="235"/>
    </row>
    <row r="18" spans="1:27" s="244" customFormat="1" ht="8" hidden="1" thickTop="1" thickBot="1">
      <c r="A18" s="236" t="s">
        <v>123</v>
      </c>
      <c r="B18" s="416">
        <v>0</v>
      </c>
      <c r="C18" s="95">
        <v>0</v>
      </c>
      <c r="D18" s="97"/>
      <c r="E18" s="95"/>
      <c r="F18" s="416"/>
      <c r="G18" s="288">
        <f t="shared" ref="G18:R18" si="2">IF(OR(G17,G14=0),0,1)</f>
        <v>0</v>
      </c>
      <c r="H18" s="288">
        <f t="shared" si="2"/>
        <v>0</v>
      </c>
      <c r="I18" s="288">
        <f t="shared" si="2"/>
        <v>0</v>
      </c>
      <c r="J18" s="288">
        <f t="shared" si="2"/>
        <v>0</v>
      </c>
      <c r="K18" s="288">
        <f t="shared" si="2"/>
        <v>0</v>
      </c>
      <c r="L18" s="288">
        <f t="shared" si="2"/>
        <v>0</v>
      </c>
      <c r="M18" s="288">
        <f t="shared" si="2"/>
        <v>0</v>
      </c>
      <c r="N18" s="288">
        <f t="shared" si="2"/>
        <v>0</v>
      </c>
      <c r="O18" s="288">
        <f t="shared" si="2"/>
        <v>0</v>
      </c>
      <c r="P18" s="288">
        <f t="shared" si="2"/>
        <v>0</v>
      </c>
      <c r="Q18" s="288">
        <f t="shared" si="2"/>
        <v>0</v>
      </c>
      <c r="R18" s="510">
        <f t="shared" si="2"/>
        <v>0</v>
      </c>
      <c r="S18" s="646">
        <f>IF(OR(S17,S14=0),0,1)</f>
        <v>0</v>
      </c>
      <c r="T18" s="235"/>
      <c r="U18" s="235"/>
      <c r="V18" s="235"/>
      <c r="W18" s="235"/>
      <c r="X18" s="235"/>
    </row>
    <row r="19" spans="1:27" s="234" customFormat="1" ht="8" hidden="1" thickTop="1" thickBot="1">
      <c r="A19" s="236" t="s">
        <v>124</v>
      </c>
      <c r="B19" s="235">
        <v>7</v>
      </c>
      <c r="C19" s="88">
        <v>0</v>
      </c>
      <c r="D19" s="88"/>
      <c r="E19" s="95"/>
      <c r="F19" s="287"/>
      <c r="G19" s="287">
        <f t="shared" ref="G19:R19" si="3">G18+F19</f>
        <v>0</v>
      </c>
      <c r="H19" s="287">
        <f t="shared" si="3"/>
        <v>0</v>
      </c>
      <c r="I19" s="287">
        <f t="shared" si="3"/>
        <v>0</v>
      </c>
      <c r="J19" s="287">
        <f t="shared" si="3"/>
        <v>0</v>
      </c>
      <c r="K19" s="287">
        <f t="shared" si="3"/>
        <v>0</v>
      </c>
      <c r="L19" s="287">
        <f t="shared" si="3"/>
        <v>0</v>
      </c>
      <c r="M19" s="287">
        <f t="shared" si="3"/>
        <v>0</v>
      </c>
      <c r="N19" s="287">
        <f t="shared" si="3"/>
        <v>0</v>
      </c>
      <c r="O19" s="287">
        <f t="shared" si="3"/>
        <v>0</v>
      </c>
      <c r="P19" s="287">
        <f t="shared" si="3"/>
        <v>0</v>
      </c>
      <c r="Q19" s="287">
        <f t="shared" si="3"/>
        <v>0</v>
      </c>
      <c r="R19" s="644">
        <f t="shared" si="3"/>
        <v>0</v>
      </c>
      <c r="S19" s="647">
        <f>S18+R19</f>
        <v>0</v>
      </c>
      <c r="T19" s="644"/>
      <c r="U19" s="644"/>
      <c r="V19" s="644"/>
      <c r="W19" s="644"/>
      <c r="X19" s="644"/>
    </row>
    <row r="20" spans="1:27" s="234" customFormat="1" ht="8" hidden="1" thickTop="1" thickBot="1">
      <c r="A20" s="236" t="s">
        <v>112</v>
      </c>
      <c r="B20" s="288">
        <v>1</v>
      </c>
      <c r="C20" s="88"/>
      <c r="D20" s="88"/>
      <c r="E20" s="95"/>
      <c r="F20" s="235"/>
      <c r="G20" s="235">
        <f t="shared" ref="G20:O20" si="4">IF(ISERROR(G13-E13),0,IF(OR(G13-E13&lt;7,LEN(G12)&gt;6),0,1))</f>
        <v>0</v>
      </c>
      <c r="H20" s="235">
        <f t="shared" si="4"/>
        <v>0</v>
      </c>
      <c r="I20" s="235">
        <f t="shared" si="4"/>
        <v>0</v>
      </c>
      <c r="J20" s="235">
        <f t="shared" si="4"/>
        <v>0</v>
      </c>
      <c r="K20" s="235">
        <f t="shared" si="4"/>
        <v>0</v>
      </c>
      <c r="L20" s="235">
        <f t="shared" si="4"/>
        <v>0</v>
      </c>
      <c r="M20" s="235">
        <f t="shared" si="4"/>
        <v>0</v>
      </c>
      <c r="N20" s="235">
        <f t="shared" si="4"/>
        <v>0</v>
      </c>
      <c r="O20" s="235">
        <f t="shared" si="4"/>
        <v>0</v>
      </c>
      <c r="P20" s="235">
        <f>IF(ISERROR(P13-O13),0,IF(OR(P13-O13&lt;7,LEN(P12)&gt;6),0,1))</f>
        <v>0</v>
      </c>
      <c r="Q20" s="235">
        <f>IF(ISERROR(Q13-P13),0,IF(OR(Q13-P13&lt;7,LEN(Q12)&gt;6),0,1))</f>
        <v>0</v>
      </c>
      <c r="R20" s="235">
        <f>IF(ISERROR(R13-Q13),0,IF(OR(R13-Q13&lt;7,LEN(R12)&gt;6),0,1))</f>
        <v>0</v>
      </c>
      <c r="S20" s="646">
        <f>IF(ISERROR(S13-Q13),0,IF(OR(S13-Q13&lt;7,LEN(S12)&gt;6),0,1))</f>
        <v>0</v>
      </c>
      <c r="T20" s="235"/>
      <c r="U20" s="235"/>
      <c r="V20" s="235"/>
      <c r="W20" s="235"/>
      <c r="X20" s="235"/>
    </row>
    <row r="21" spans="1:27" ht="11.5" thickTop="1" thickBot="1">
      <c r="A21" s="63" t="s">
        <v>14</v>
      </c>
      <c r="B21" s="120"/>
      <c r="C21" s="19"/>
      <c r="D21" s="21"/>
      <c r="E21" s="484"/>
      <c r="S21" s="6"/>
      <c r="AA21" s="14"/>
    </row>
    <row r="22" spans="1:27" s="69" customFormat="1" ht="7.5" thickTop="1">
      <c r="A22" s="140" t="s">
        <v>23</v>
      </c>
      <c r="B22" s="77">
        <v>25</v>
      </c>
      <c r="C22" s="459"/>
      <c r="D22" s="468"/>
      <c r="E22" s="459"/>
      <c r="F22" s="66"/>
      <c r="G22" s="77"/>
      <c r="H22" s="77"/>
      <c r="I22" s="77"/>
      <c r="J22" s="77"/>
      <c r="K22" s="77"/>
      <c r="L22" s="50"/>
      <c r="M22" s="50"/>
      <c r="N22" s="123"/>
      <c r="O22" s="123"/>
      <c r="P22" s="123"/>
      <c r="Q22" s="123"/>
      <c r="R22" s="123"/>
      <c r="S22" s="141"/>
    </row>
    <row r="23" spans="1:27" s="69" customFormat="1">
      <c r="A23" s="131" t="s">
        <v>24</v>
      </c>
      <c r="B23" s="67">
        <v>180</v>
      </c>
      <c r="C23" s="460"/>
      <c r="D23" s="412"/>
      <c r="E23" s="460"/>
      <c r="F23" s="64"/>
      <c r="G23" s="67"/>
      <c r="H23" s="67"/>
      <c r="I23" s="67"/>
      <c r="J23" s="67"/>
      <c r="K23" s="67"/>
      <c r="L23" s="52"/>
      <c r="M23" s="52"/>
      <c r="N23" s="124"/>
      <c r="O23" s="124"/>
      <c r="P23" s="124"/>
      <c r="Q23" s="124"/>
      <c r="R23" s="124"/>
      <c r="S23" s="130"/>
    </row>
    <row r="24" spans="1:27" s="69" customFormat="1" ht="7.5" thickBot="1">
      <c r="A24" s="132" t="s">
        <v>27</v>
      </c>
      <c r="B24" s="417">
        <v>70</v>
      </c>
      <c r="C24" s="461"/>
      <c r="D24" s="469"/>
      <c r="E24" s="461"/>
      <c r="F24" s="64"/>
      <c r="G24" s="67"/>
      <c r="H24" s="67"/>
      <c r="I24" s="67"/>
      <c r="J24" s="67"/>
      <c r="K24" s="67"/>
      <c r="L24" s="52"/>
      <c r="M24" s="52"/>
      <c r="N24" s="124"/>
      <c r="O24" s="124"/>
      <c r="P24" s="124"/>
      <c r="Q24" s="124"/>
      <c r="R24" s="124"/>
      <c r="S24" s="130"/>
      <c r="AA24" s="44"/>
    </row>
    <row r="25" spans="1:27" s="44" customFormat="1" ht="11.5" thickTop="1" thickBot="1">
      <c r="A25" s="104" t="s">
        <v>70</v>
      </c>
      <c r="B25" s="418">
        <v>275</v>
      </c>
      <c r="C25" s="67">
        <v>0</v>
      </c>
      <c r="D25" s="67">
        <f>SUM(D22:D24)</f>
        <v>0</v>
      </c>
      <c r="E25" s="418"/>
      <c r="F25" s="73"/>
      <c r="G25" s="76"/>
      <c r="H25" s="76"/>
      <c r="I25" s="76"/>
      <c r="J25" s="76"/>
      <c r="K25" s="76"/>
      <c r="L25" s="75"/>
      <c r="M25" s="75"/>
      <c r="N25" s="75"/>
      <c r="O25" s="75"/>
      <c r="P25" s="75"/>
      <c r="Q25" s="75"/>
      <c r="R25" s="75"/>
      <c r="S25" s="108"/>
      <c r="AA25" s="267"/>
    </row>
    <row r="26" spans="1:27" ht="11.5" thickTop="1" thickBot="1">
      <c r="A26" s="11" t="s">
        <v>72</v>
      </c>
      <c r="B26" s="419" t="s">
        <v>102</v>
      </c>
      <c r="C26" s="462" t="s">
        <v>102</v>
      </c>
      <c r="D26" s="470"/>
      <c r="E26" s="485"/>
      <c r="F26" s="3" t="s">
        <v>102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5"/>
      <c r="AA26" s="69"/>
    </row>
    <row r="27" spans="1:27" s="69" customFormat="1" ht="7.5" thickTop="1">
      <c r="A27" s="140" t="s">
        <v>37</v>
      </c>
      <c r="B27" s="77">
        <v>47.59</v>
      </c>
      <c r="C27" s="459"/>
      <c r="D27" s="468"/>
      <c r="E27" s="459"/>
      <c r="F27" s="66"/>
      <c r="G27" s="77"/>
      <c r="H27" s="77"/>
      <c r="I27" s="77"/>
      <c r="J27" s="77"/>
      <c r="K27" s="77"/>
      <c r="L27" s="77"/>
      <c r="M27" s="77"/>
      <c r="N27" s="123"/>
      <c r="O27" s="123"/>
      <c r="P27" s="123"/>
      <c r="Q27" s="123"/>
      <c r="R27" s="123"/>
      <c r="S27" s="141"/>
    </row>
    <row r="28" spans="1:27" s="69" customFormat="1">
      <c r="A28" s="131" t="s">
        <v>38</v>
      </c>
      <c r="B28" s="67"/>
      <c r="C28" s="460"/>
      <c r="D28" s="412"/>
      <c r="E28" s="460"/>
      <c r="F28" s="64"/>
      <c r="G28" s="67"/>
      <c r="H28" s="67"/>
      <c r="I28" s="67"/>
      <c r="J28" s="67"/>
      <c r="K28" s="67"/>
      <c r="L28" s="67"/>
      <c r="M28" s="67"/>
      <c r="N28" s="124"/>
      <c r="O28" s="124"/>
      <c r="P28" s="124"/>
      <c r="Q28" s="124"/>
      <c r="R28" s="124"/>
      <c r="S28" s="130"/>
    </row>
    <row r="29" spans="1:27" s="69" customFormat="1">
      <c r="A29" s="131" t="s">
        <v>39</v>
      </c>
      <c r="B29" s="67"/>
      <c r="C29" s="460"/>
      <c r="D29" s="412"/>
      <c r="E29" s="460"/>
      <c r="F29" s="64"/>
      <c r="G29" s="67"/>
      <c r="H29" s="67"/>
      <c r="I29" s="67"/>
      <c r="J29" s="67"/>
      <c r="K29" s="67"/>
      <c r="L29" s="67"/>
      <c r="M29" s="67"/>
      <c r="N29" s="124"/>
      <c r="O29" s="124"/>
      <c r="P29" s="124"/>
      <c r="Q29" s="124"/>
      <c r="R29" s="124"/>
      <c r="S29" s="130"/>
    </row>
    <row r="30" spans="1:27" s="69" customFormat="1">
      <c r="A30" s="133" t="s">
        <v>41</v>
      </c>
      <c r="B30" s="90">
        <v>0</v>
      </c>
      <c r="C30" s="91">
        <v>0</v>
      </c>
      <c r="D30" s="91"/>
      <c r="E30" s="90"/>
      <c r="F30" s="93"/>
      <c r="G30" s="90"/>
      <c r="H30" s="90"/>
      <c r="I30" s="90"/>
      <c r="J30" s="90"/>
      <c r="K30" s="90"/>
      <c r="L30" s="90"/>
      <c r="M30" s="90"/>
      <c r="N30" s="124"/>
      <c r="O30" s="124"/>
      <c r="P30" s="124"/>
      <c r="Q30" s="124"/>
      <c r="R30" s="124"/>
      <c r="S30" s="130"/>
    </row>
    <row r="31" spans="1:27" s="145" customFormat="1">
      <c r="A31" s="142" t="s">
        <v>42</v>
      </c>
      <c r="B31" s="43">
        <v>47.59</v>
      </c>
      <c r="C31" s="43">
        <v>0</v>
      </c>
      <c r="D31" s="47"/>
      <c r="E31" s="43"/>
      <c r="F31" s="65"/>
      <c r="G31" s="43"/>
      <c r="H31" s="43"/>
      <c r="I31" s="43"/>
      <c r="J31" s="43"/>
      <c r="K31" s="43"/>
      <c r="L31" s="43"/>
      <c r="M31" s="43"/>
      <c r="N31" s="143"/>
      <c r="O31" s="143"/>
      <c r="P31" s="143"/>
      <c r="Q31" s="143"/>
      <c r="R31" s="143"/>
      <c r="S31" s="144"/>
      <c r="AA31" s="69"/>
    </row>
    <row r="32" spans="1:27" s="145" customFormat="1" ht="7.5" thickBot="1">
      <c r="A32" s="146" t="s">
        <v>83</v>
      </c>
      <c r="B32" s="201"/>
      <c r="C32" s="463"/>
      <c r="D32" s="471"/>
      <c r="E32" s="463"/>
      <c r="F32" s="478"/>
      <c r="G32" s="201"/>
      <c r="H32" s="201"/>
      <c r="I32" s="201"/>
      <c r="J32" s="201"/>
      <c r="K32" s="201"/>
      <c r="L32" s="201"/>
      <c r="M32" s="201"/>
      <c r="N32" s="148"/>
      <c r="O32" s="148"/>
      <c r="P32" s="147"/>
      <c r="Q32" s="147"/>
      <c r="R32" s="147"/>
      <c r="S32" s="160"/>
      <c r="AA32" s="44"/>
    </row>
    <row r="33" spans="1:208" s="44" customFormat="1" ht="11.5" thickTop="1" thickBot="1">
      <c r="A33" s="85" t="s">
        <v>73</v>
      </c>
      <c r="B33" s="103" t="s">
        <v>102</v>
      </c>
      <c r="C33" s="317"/>
      <c r="D33" s="472"/>
      <c r="E33" s="417"/>
      <c r="F33" s="103"/>
      <c r="G33" s="103"/>
      <c r="H33" s="103"/>
      <c r="I33" s="103"/>
      <c r="J33" s="103"/>
      <c r="K33" s="103"/>
      <c r="L33" s="103"/>
      <c r="M33" s="103"/>
      <c r="S33" s="215"/>
      <c r="U33" s="145"/>
      <c r="V33" s="145"/>
      <c r="AA33" s="69"/>
    </row>
    <row r="34" spans="1:208" s="69" customFormat="1" ht="7.5" thickTop="1">
      <c r="A34" s="140" t="s">
        <v>47</v>
      </c>
      <c r="B34" s="77">
        <v>0</v>
      </c>
      <c r="C34" s="50"/>
      <c r="D34" s="50"/>
      <c r="E34" s="77"/>
      <c r="F34" s="479"/>
      <c r="G34" s="77"/>
      <c r="H34" s="77"/>
      <c r="I34" s="77"/>
      <c r="J34" s="77"/>
      <c r="K34" s="77"/>
      <c r="L34" s="77"/>
      <c r="M34" s="77"/>
      <c r="N34" s="123"/>
      <c r="O34" s="123"/>
      <c r="P34" s="123"/>
      <c r="Q34" s="123"/>
      <c r="R34" s="123"/>
      <c r="S34" s="141"/>
      <c r="U34" s="145"/>
      <c r="V34" s="145"/>
    </row>
    <row r="35" spans="1:208" s="69" customFormat="1">
      <c r="A35" s="131" t="s">
        <v>48</v>
      </c>
      <c r="B35" s="67">
        <v>0</v>
      </c>
      <c r="C35" s="67"/>
      <c r="D35" s="52"/>
      <c r="E35" s="67"/>
      <c r="F35" s="64"/>
      <c r="G35" s="67"/>
      <c r="H35" s="67"/>
      <c r="I35" s="67"/>
      <c r="J35" s="67"/>
      <c r="K35" s="67"/>
      <c r="L35" s="67"/>
      <c r="M35" s="67"/>
      <c r="N35" s="124"/>
      <c r="O35" s="124"/>
      <c r="P35" s="124"/>
      <c r="Q35" s="124"/>
      <c r="R35" s="124"/>
      <c r="S35" s="130"/>
      <c r="U35" s="145"/>
      <c r="V35" s="145"/>
    </row>
    <row r="36" spans="1:208" s="69" customFormat="1">
      <c r="A36" s="131" t="s">
        <v>52</v>
      </c>
      <c r="B36" s="67">
        <v>0</v>
      </c>
      <c r="C36" s="52"/>
      <c r="D36" s="52"/>
      <c r="E36" s="67"/>
      <c r="F36" s="64"/>
      <c r="G36" s="67"/>
      <c r="H36" s="106"/>
      <c r="I36" s="106"/>
      <c r="J36" s="67"/>
      <c r="K36" s="67"/>
      <c r="L36" s="67"/>
      <c r="M36" s="67"/>
      <c r="N36" s="124"/>
      <c r="O36" s="124"/>
      <c r="P36" s="124"/>
      <c r="Q36" s="124"/>
      <c r="R36" s="124"/>
      <c r="S36" s="130"/>
      <c r="T36" s="107"/>
      <c r="U36" s="145"/>
      <c r="V36" s="145"/>
    </row>
    <row r="37" spans="1:208" s="69" customFormat="1">
      <c r="A37" s="133" t="s">
        <v>49</v>
      </c>
      <c r="B37" s="643"/>
      <c r="C37" s="464"/>
      <c r="D37" s="473"/>
      <c r="E37" s="464"/>
      <c r="F37" s="93"/>
      <c r="G37" s="90"/>
      <c r="H37" s="216"/>
      <c r="I37" s="216"/>
      <c r="J37" s="90"/>
      <c r="K37" s="90"/>
      <c r="L37" s="90"/>
      <c r="M37" s="90"/>
      <c r="N37" s="124"/>
      <c r="O37" s="124"/>
      <c r="P37" s="124"/>
      <c r="Q37" s="124"/>
      <c r="R37" s="124"/>
      <c r="S37" s="159"/>
      <c r="T37" s="162"/>
      <c r="U37" s="145"/>
      <c r="V37" s="145"/>
    </row>
    <row r="38" spans="1:208" s="145" customFormat="1" ht="7.5" thickBot="1">
      <c r="A38" s="142" t="s">
        <v>74</v>
      </c>
      <c r="B38" s="47">
        <v>0</v>
      </c>
      <c r="C38" s="43"/>
      <c r="D38" s="47"/>
      <c r="E38" s="43"/>
      <c r="F38" s="480"/>
      <c r="G38" s="43"/>
      <c r="H38" s="229"/>
      <c r="I38" s="229"/>
      <c r="J38" s="43"/>
      <c r="K38" s="43"/>
      <c r="L38" s="43"/>
      <c r="M38" s="43"/>
      <c r="N38" s="148"/>
      <c r="O38" s="148"/>
      <c r="P38" s="148"/>
      <c r="Q38" s="148"/>
      <c r="R38" s="147"/>
      <c r="S38" s="160"/>
      <c r="T38" s="648"/>
      <c r="AA38" s="69"/>
    </row>
    <row r="39" spans="1:208" s="69" customFormat="1" ht="11.5" thickTop="1" thickBot="1">
      <c r="A39" s="149" t="s">
        <v>53</v>
      </c>
      <c r="B39" s="50">
        <v>47.59</v>
      </c>
      <c r="C39" s="77"/>
      <c r="D39" s="50">
        <f>SUM(D32:D37)+D31</f>
        <v>0</v>
      </c>
      <c r="E39" s="77"/>
      <c r="F39" s="481"/>
      <c r="G39" s="76"/>
      <c r="H39" s="230"/>
      <c r="I39" s="230"/>
      <c r="J39" s="76"/>
      <c r="K39" s="76"/>
      <c r="L39" s="76"/>
      <c r="M39" s="76"/>
      <c r="N39" s="150"/>
      <c r="O39" s="150"/>
      <c r="P39" s="150"/>
      <c r="Q39" s="150"/>
      <c r="R39" s="150"/>
      <c r="S39" s="151"/>
      <c r="T39" s="107"/>
      <c r="U39" s="145"/>
      <c r="V39" s="145"/>
      <c r="AA39" s="184"/>
    </row>
    <row r="40" spans="1:208" s="69" customFormat="1" ht="8" thickTop="1" thickBot="1">
      <c r="A40" s="261" t="s">
        <v>121</v>
      </c>
      <c r="B40" s="264">
        <v>227.41</v>
      </c>
      <c r="C40" s="262"/>
      <c r="D40" s="264">
        <f>D25-D39</f>
        <v>0</v>
      </c>
      <c r="E40" s="262"/>
      <c r="F40" s="265"/>
      <c r="G40" s="262"/>
      <c r="H40" s="262"/>
      <c r="I40" s="262"/>
      <c r="J40" s="77"/>
      <c r="K40" s="77"/>
      <c r="L40" s="50"/>
      <c r="M40" s="50"/>
      <c r="N40" s="123"/>
      <c r="O40" s="123"/>
      <c r="P40" s="123"/>
      <c r="Q40" s="123"/>
      <c r="R40" s="123"/>
      <c r="S40" s="141"/>
      <c r="T40" s="107"/>
      <c r="U40" s="145"/>
      <c r="V40" s="145"/>
      <c r="AA40" s="184"/>
    </row>
    <row r="41" spans="1:208" s="179" customFormat="1" ht="8" thickTop="1" thickBot="1">
      <c r="A41" s="87" t="s">
        <v>120</v>
      </c>
      <c r="B41" s="314" t="s">
        <v>183</v>
      </c>
      <c r="C41" s="314" t="str">
        <f t="shared" ref="C41:I41" si="5">IF(C40=0,"","post bal.")</f>
        <v/>
      </c>
      <c r="D41" s="314" t="str">
        <f t="shared" si="5"/>
        <v/>
      </c>
      <c r="E41" s="314" t="str">
        <f t="shared" si="5"/>
        <v/>
      </c>
      <c r="F41" s="482" t="str">
        <f t="shared" si="5"/>
        <v/>
      </c>
      <c r="G41" s="314" t="str">
        <f t="shared" si="5"/>
        <v/>
      </c>
      <c r="H41" s="314" t="str">
        <f t="shared" si="5"/>
        <v/>
      </c>
      <c r="I41" s="314" t="str">
        <f t="shared" si="5"/>
        <v/>
      </c>
      <c r="J41" s="217" t="str">
        <f>IF(J39=0,"","post bal.")</f>
        <v/>
      </c>
      <c r="K41" s="217" t="str">
        <f>IF(K39=0,"","post bal.")</f>
        <v/>
      </c>
      <c r="L41" s="220" t="str">
        <f>IF(L39=0,"","post bal.")</f>
        <v/>
      </c>
      <c r="M41" s="220" t="str">
        <f>IF(M39=0,"","post bal.")</f>
        <v/>
      </c>
      <c r="N41" s="220" t="str">
        <f>IF(N39=0,"","post bal.")</f>
        <v/>
      </c>
      <c r="O41" s="181"/>
      <c r="P41" s="181"/>
      <c r="Q41" s="181"/>
      <c r="R41" s="181"/>
      <c r="S41" s="182"/>
      <c r="T41" s="649"/>
      <c r="U41" s="145"/>
      <c r="V41" s="145"/>
      <c r="AA41" s="183">
        <f>SUM(B42:Y42)</f>
        <v>0</v>
      </c>
    </row>
    <row r="42" spans="1:208" s="69" customFormat="1" ht="7.5" hidden="1" thickTop="1">
      <c r="B42" s="68">
        <f t="shared" ref="B42:G42" si="6">IF(B41="post bal.",B40,0)</f>
        <v>0</v>
      </c>
      <c r="C42" s="68">
        <f t="shared" si="6"/>
        <v>0</v>
      </c>
      <c r="D42" s="68">
        <f t="shared" si="6"/>
        <v>0</v>
      </c>
      <c r="E42" s="68">
        <f t="shared" si="6"/>
        <v>0</v>
      </c>
      <c r="F42" s="68">
        <f t="shared" si="6"/>
        <v>0</v>
      </c>
      <c r="G42" s="68">
        <f t="shared" si="6"/>
        <v>0</v>
      </c>
      <c r="I42" s="68">
        <f>IF(I41="post bal.",I40,0)</f>
        <v>0</v>
      </c>
      <c r="J42" s="68">
        <f t="shared" ref="J42:R42" si="7">IF(J41="post bal.",J39,0)</f>
        <v>0</v>
      </c>
      <c r="K42" s="68">
        <f t="shared" si="7"/>
        <v>0</v>
      </c>
      <c r="L42" s="68">
        <f t="shared" si="7"/>
        <v>0</v>
      </c>
      <c r="M42" s="68">
        <f t="shared" si="7"/>
        <v>0</v>
      </c>
      <c r="N42" s="68">
        <f t="shared" si="7"/>
        <v>0</v>
      </c>
      <c r="O42" s="68">
        <f t="shared" si="7"/>
        <v>0</v>
      </c>
      <c r="P42" s="68">
        <f t="shared" si="7"/>
        <v>0</v>
      </c>
      <c r="Q42" s="68">
        <f t="shared" si="7"/>
        <v>0</v>
      </c>
      <c r="R42" s="68">
        <f t="shared" si="7"/>
        <v>0</v>
      </c>
      <c r="U42" s="145"/>
      <c r="V42" s="145"/>
      <c r="Y42" s="68"/>
      <c r="AB42" s="69" t="s">
        <v>67</v>
      </c>
      <c r="AC42" s="69" t="s">
        <v>67</v>
      </c>
    </row>
    <row r="43" spans="1:208" ht="7.5" thickTop="1">
      <c r="U43" s="145"/>
      <c r="V43" s="145"/>
      <c r="AA43" s="69"/>
    </row>
    <row r="44" spans="1:208" ht="11.5" hidden="1" thickTop="1" thickBot="1">
      <c r="A44" s="11" t="s">
        <v>9</v>
      </c>
      <c r="U44" s="145"/>
      <c r="V44" s="145"/>
      <c r="AA44" s="14"/>
    </row>
    <row r="45" spans="1:208" ht="7.5" hidden="1" thickTop="1">
      <c r="A45" s="79" t="s">
        <v>68</v>
      </c>
      <c r="B45" s="56"/>
      <c r="C45" s="17"/>
      <c r="D45" s="17"/>
      <c r="E45" s="17"/>
      <c r="F45" s="17"/>
      <c r="G45" s="20"/>
      <c r="H45" s="203"/>
      <c r="I45" s="138"/>
      <c r="J45" s="138"/>
      <c r="K45" s="138"/>
      <c r="L45" s="138"/>
      <c r="M45" s="138"/>
      <c r="N45" s="138"/>
      <c r="O45" s="138"/>
      <c r="P45" s="283"/>
      <c r="Q45" s="138"/>
      <c r="R45" s="138"/>
      <c r="S45" s="138"/>
      <c r="T45" s="138"/>
      <c r="U45" s="145"/>
      <c r="V45" s="145"/>
      <c r="W45" s="138"/>
      <c r="X45" s="138"/>
      <c r="Y45" s="138"/>
      <c r="Z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</row>
    <row r="46" spans="1:208" hidden="1">
      <c r="A46" s="7" t="s">
        <v>69</v>
      </c>
      <c r="B46" s="78"/>
      <c r="C46" s="78"/>
      <c r="D46" s="78"/>
      <c r="E46" s="78"/>
      <c r="F46" s="80"/>
      <c r="G46" s="81"/>
      <c r="H46" s="204"/>
      <c r="I46" s="81"/>
      <c r="J46" s="81"/>
      <c r="K46" s="81"/>
      <c r="L46" s="81"/>
      <c r="M46" s="81"/>
      <c r="N46" s="81"/>
      <c r="O46" s="81"/>
      <c r="P46" s="81"/>
      <c r="Q46" s="81"/>
      <c r="R46" s="138"/>
      <c r="S46" s="138"/>
      <c r="T46" s="138"/>
      <c r="U46" s="145"/>
      <c r="V46" s="145"/>
      <c r="W46" s="138"/>
      <c r="X46" s="138"/>
      <c r="Y46" s="138"/>
    </row>
    <row r="47" spans="1:208" hidden="1">
      <c r="A47" s="94" t="s">
        <v>12</v>
      </c>
      <c r="B47" s="95"/>
      <c r="C47" s="95"/>
      <c r="D47" s="95"/>
      <c r="E47" s="95"/>
      <c r="F47" s="95"/>
      <c r="G47" s="97"/>
      <c r="H47" s="205"/>
      <c r="U47" s="145"/>
      <c r="V47" s="145"/>
    </row>
    <row r="48" spans="1:208" ht="7.5" hidden="1" thickBot="1">
      <c r="A48" s="98" t="s">
        <v>13</v>
      </c>
      <c r="B48" s="270"/>
      <c r="C48" s="89"/>
      <c r="D48" s="89"/>
      <c r="E48" s="89"/>
      <c r="F48" s="89"/>
      <c r="G48" s="100"/>
      <c r="H48" s="9"/>
      <c r="U48" s="145"/>
      <c r="V48" s="145"/>
    </row>
    <row r="49" spans="1:27" ht="7.5" hidden="1" thickTop="1">
      <c r="A49" s="242" t="s">
        <v>113</v>
      </c>
      <c r="B49" s="243">
        <f>IF(OR(ISTEXT(B46),B46=0),Summary!$E$1-7,B46-MOD(B46-Summary!$E$1,7))</f>
        <v>44679</v>
      </c>
      <c r="C49" s="243">
        <f>IF(OR(ISTEXT(C46),C46=0),Summary!$E$1-7,C46-MOD(C46-Summary!$E$1,7))</f>
        <v>44679</v>
      </c>
      <c r="D49" s="243">
        <f>IF(OR(ISTEXT(D46),D46=0),Summary!$E$1-7,D46-MOD(D46-Summary!$E$1,7))</f>
        <v>44679</v>
      </c>
      <c r="E49" s="243">
        <f>IF(OR(ISTEXT(E46),E46=0),Summary!$E$1-7,E46-MOD(E46-Summary!$E$1,7))</f>
        <v>44679</v>
      </c>
      <c r="F49" s="243">
        <f>IF(OR(ISTEXT(F46),F46=0),Summary!$E$1-7,F46-MOD(F46-Summary!$E$1,7))</f>
        <v>44679</v>
      </c>
      <c r="G49" s="243">
        <f>IF(OR(ISTEXT(G46),G46=0),Summary!$E$1-7,G46-MOD(G46-Summary!$E$1,7))</f>
        <v>44679</v>
      </c>
      <c r="H49" s="9"/>
      <c r="U49" s="145"/>
      <c r="V49" s="145"/>
    </row>
    <row r="50" spans="1:27" hidden="1">
      <c r="A50" s="236" t="s">
        <v>111</v>
      </c>
      <c r="B50" s="235"/>
      <c r="C50" s="235"/>
      <c r="D50" s="235"/>
      <c r="E50" s="235"/>
      <c r="F50" s="235"/>
      <c r="G50" s="235"/>
      <c r="H50" s="9"/>
      <c r="U50" s="145"/>
      <c r="V50" s="145"/>
    </row>
    <row r="51" spans="1:27" ht="7.5" hidden="1" thickBot="1">
      <c r="A51" s="236" t="s">
        <v>112</v>
      </c>
      <c r="B51" s="235">
        <f t="shared" ref="B51:G51" si="8">IF(ISERROR(B46-A46),0,IF(OR(B46-A46&lt;7,LEN(B45)&gt;6),0,1))</f>
        <v>0</v>
      </c>
      <c r="C51" s="235">
        <f t="shared" si="8"/>
        <v>0</v>
      </c>
      <c r="D51" s="235">
        <f t="shared" si="8"/>
        <v>0</v>
      </c>
      <c r="E51" s="235">
        <f t="shared" si="8"/>
        <v>0</v>
      </c>
      <c r="F51" s="235">
        <f t="shared" si="8"/>
        <v>0</v>
      </c>
      <c r="G51" s="235">
        <f t="shared" si="8"/>
        <v>0</v>
      </c>
      <c r="H51" s="9"/>
      <c r="U51" s="145"/>
      <c r="V51" s="145"/>
    </row>
    <row r="52" spans="1:27" ht="11.5" hidden="1" thickTop="1" thickBot="1">
      <c r="A52" s="63" t="s">
        <v>14</v>
      </c>
      <c r="H52" s="9"/>
      <c r="U52" s="145"/>
      <c r="V52" s="145"/>
      <c r="AA52" s="14"/>
    </row>
    <row r="53" spans="1:27" s="69" customFormat="1" ht="7.5" hidden="1" thickTop="1">
      <c r="A53" s="140" t="s">
        <v>23</v>
      </c>
      <c r="B53" s="123"/>
      <c r="C53" s="123"/>
      <c r="D53" s="123"/>
      <c r="E53" s="123"/>
      <c r="F53" s="123"/>
      <c r="G53" s="123"/>
      <c r="H53" s="107"/>
      <c r="U53" s="145"/>
      <c r="V53" s="145"/>
    </row>
    <row r="54" spans="1:27" s="69" customFormat="1" hidden="1">
      <c r="A54" s="131" t="s">
        <v>24</v>
      </c>
      <c r="B54" s="124"/>
      <c r="C54" s="124"/>
      <c r="D54" s="124"/>
      <c r="E54" s="124"/>
      <c r="F54" s="124"/>
      <c r="G54" s="124"/>
      <c r="H54" s="107"/>
      <c r="U54" s="145"/>
      <c r="V54" s="145"/>
    </row>
    <row r="55" spans="1:27" s="69" customFormat="1" ht="7.5" hidden="1" thickBot="1">
      <c r="A55" s="132" t="s">
        <v>27</v>
      </c>
      <c r="B55" s="124"/>
      <c r="C55" s="124"/>
      <c r="D55" s="124"/>
      <c r="E55" s="124"/>
      <c r="F55" s="124"/>
      <c r="G55" s="124"/>
      <c r="H55" s="107"/>
      <c r="U55" s="145"/>
      <c r="V55" s="145"/>
      <c r="AA55" s="44"/>
    </row>
    <row r="56" spans="1:27" s="44" customFormat="1" ht="11.5" hidden="1" thickTop="1" thickBot="1">
      <c r="A56" s="104" t="s">
        <v>70</v>
      </c>
      <c r="B56" s="72">
        <f t="shared" ref="B56:G56" si="9">SUM(B53:B55)</f>
        <v>0</v>
      </c>
      <c r="C56" s="75">
        <f t="shared" si="9"/>
        <v>0</v>
      </c>
      <c r="D56" s="75">
        <f t="shared" si="9"/>
        <v>0</v>
      </c>
      <c r="E56" s="75">
        <f t="shared" si="9"/>
        <v>0</v>
      </c>
      <c r="F56" s="75">
        <f t="shared" si="9"/>
        <v>0</v>
      </c>
      <c r="G56" s="75">
        <f t="shared" si="9"/>
        <v>0</v>
      </c>
      <c r="H56" s="45"/>
      <c r="U56" s="145"/>
      <c r="V56" s="145"/>
      <c r="AA56" s="88"/>
    </row>
    <row r="57" spans="1:27" ht="11.5" hidden="1" thickTop="1" thickBot="1">
      <c r="A57" s="11" t="s">
        <v>72</v>
      </c>
      <c r="B57" s="3" t="s">
        <v>102</v>
      </c>
      <c r="C57" s="3" t="s">
        <v>102</v>
      </c>
      <c r="D57" s="3" t="s">
        <v>102</v>
      </c>
      <c r="E57" s="3" t="s">
        <v>102</v>
      </c>
      <c r="F57" s="3" t="s">
        <v>102</v>
      </c>
      <c r="G57" s="3" t="s">
        <v>102</v>
      </c>
      <c r="H57" s="9"/>
      <c r="U57" s="145"/>
      <c r="V57" s="145"/>
      <c r="AA57" s="69"/>
    </row>
    <row r="58" spans="1:27" s="69" customFormat="1" ht="7.5" hidden="1" thickTop="1">
      <c r="A58" s="140" t="s">
        <v>37</v>
      </c>
      <c r="B58" s="123"/>
      <c r="C58" s="123"/>
      <c r="D58" s="123"/>
      <c r="E58" s="123"/>
      <c r="F58" s="123"/>
      <c r="G58" s="123"/>
      <c r="H58" s="107"/>
      <c r="U58" s="145"/>
      <c r="V58" s="145"/>
    </row>
    <row r="59" spans="1:27" s="69" customFormat="1" hidden="1">
      <c r="A59" s="131" t="s">
        <v>38</v>
      </c>
      <c r="B59" s="124"/>
      <c r="C59" s="124"/>
      <c r="D59" s="124"/>
      <c r="E59" s="124"/>
      <c r="F59" s="124"/>
      <c r="G59" s="124"/>
      <c r="H59" s="107"/>
      <c r="U59" s="145"/>
      <c r="V59" s="145"/>
    </row>
    <row r="60" spans="1:27" s="69" customFormat="1" hidden="1">
      <c r="A60" s="131" t="s">
        <v>39</v>
      </c>
      <c r="B60" s="124"/>
      <c r="C60" s="124"/>
      <c r="D60" s="124"/>
      <c r="E60" s="124"/>
      <c r="F60" s="124"/>
      <c r="G60" s="124"/>
      <c r="H60" s="107"/>
      <c r="U60" s="145"/>
      <c r="V60" s="145"/>
    </row>
    <row r="61" spans="1:27" s="69" customFormat="1" hidden="1">
      <c r="A61" s="133" t="s">
        <v>41</v>
      </c>
      <c r="B61" s="124"/>
      <c r="C61" s="124"/>
      <c r="D61" s="124"/>
      <c r="E61" s="124"/>
      <c r="F61" s="124"/>
      <c r="G61" s="124"/>
      <c r="H61" s="107"/>
      <c r="U61" s="145"/>
      <c r="V61" s="145"/>
    </row>
    <row r="62" spans="1:27" s="69" customFormat="1" hidden="1">
      <c r="A62" s="142" t="s">
        <v>42</v>
      </c>
      <c r="B62" s="128">
        <f t="shared" ref="B62:G62" si="10">SUM(B58:B61)</f>
        <v>0</v>
      </c>
      <c r="C62" s="128">
        <f t="shared" si="10"/>
        <v>0</v>
      </c>
      <c r="D62" s="128">
        <f t="shared" si="10"/>
        <v>0</v>
      </c>
      <c r="E62" s="128">
        <f t="shared" si="10"/>
        <v>0</v>
      </c>
      <c r="F62" s="128">
        <f t="shared" si="10"/>
        <v>0</v>
      </c>
      <c r="G62" s="128">
        <f t="shared" si="10"/>
        <v>0</v>
      </c>
      <c r="H62" s="107"/>
      <c r="U62" s="145"/>
      <c r="V62" s="145"/>
    </row>
    <row r="63" spans="1:27" s="69" customFormat="1" ht="7.5" hidden="1" thickBot="1">
      <c r="A63" s="146" t="s">
        <v>83</v>
      </c>
      <c r="B63" s="161"/>
      <c r="C63" s="126"/>
      <c r="D63" s="126"/>
      <c r="E63" s="126"/>
      <c r="F63" s="126"/>
      <c r="G63" s="126"/>
      <c r="H63" s="107"/>
      <c r="U63" s="145"/>
      <c r="V63" s="145"/>
      <c r="AA63" s="44"/>
    </row>
    <row r="64" spans="1:27" s="44" customFormat="1" ht="11.5" hidden="1" thickTop="1" thickBot="1">
      <c r="A64" s="85" t="s">
        <v>73</v>
      </c>
      <c r="H64" s="45"/>
      <c r="U64" s="145"/>
      <c r="V64" s="145"/>
      <c r="AA64" s="69"/>
    </row>
    <row r="65" spans="1:29" s="69" customFormat="1" ht="7.5" hidden="1" thickTop="1">
      <c r="A65" s="140" t="s">
        <v>47</v>
      </c>
      <c r="B65" s="122"/>
      <c r="C65" s="123"/>
      <c r="D65" s="123"/>
      <c r="E65" s="123"/>
      <c r="F65" s="123"/>
      <c r="G65" s="123"/>
      <c r="H65" s="107"/>
      <c r="U65" s="145"/>
      <c r="V65" s="145"/>
    </row>
    <row r="66" spans="1:29" s="69" customFormat="1" hidden="1">
      <c r="A66" s="131" t="s">
        <v>48</v>
      </c>
      <c r="B66" s="107"/>
      <c r="C66" s="124"/>
      <c r="D66" s="124"/>
      <c r="E66" s="124"/>
      <c r="F66" s="124"/>
      <c r="G66" s="124"/>
      <c r="H66" s="107"/>
      <c r="U66" s="145"/>
      <c r="V66" s="145"/>
    </row>
    <row r="67" spans="1:29" s="69" customFormat="1" hidden="1">
      <c r="A67" s="131" t="s">
        <v>52</v>
      </c>
      <c r="B67" s="107"/>
      <c r="C67" s="124"/>
      <c r="D67" s="124"/>
      <c r="E67" s="124"/>
      <c r="F67" s="124"/>
      <c r="G67" s="124"/>
      <c r="H67" s="107"/>
      <c r="U67" s="145"/>
      <c r="V67" s="145"/>
    </row>
    <row r="68" spans="1:29" s="69" customFormat="1" hidden="1">
      <c r="A68" s="133" t="s">
        <v>49</v>
      </c>
      <c r="B68" s="162"/>
      <c r="C68" s="163"/>
      <c r="D68" s="163"/>
      <c r="E68" s="163"/>
      <c r="F68" s="163"/>
      <c r="G68" s="163"/>
      <c r="H68" s="107"/>
      <c r="U68" s="145"/>
      <c r="V68" s="145"/>
    </row>
    <row r="69" spans="1:29" s="69" customFormat="1" ht="7.5" hidden="1" thickBot="1">
      <c r="A69" s="142" t="s">
        <v>74</v>
      </c>
      <c r="B69" s="105">
        <f t="shared" ref="B69:G69" si="11">SUM(B65:B68)</f>
        <v>0</v>
      </c>
      <c r="C69" s="105">
        <f t="shared" si="11"/>
        <v>0</v>
      </c>
      <c r="D69" s="105">
        <f t="shared" si="11"/>
        <v>0</v>
      </c>
      <c r="E69" s="105">
        <f t="shared" si="11"/>
        <v>0</v>
      </c>
      <c r="F69" s="105">
        <f t="shared" si="11"/>
        <v>0</v>
      </c>
      <c r="G69" s="69">
        <f t="shared" si="11"/>
        <v>0</v>
      </c>
      <c r="H69" s="107"/>
      <c r="U69" s="145"/>
      <c r="V69" s="145"/>
    </row>
    <row r="70" spans="1:29" s="69" customFormat="1" ht="11.5" hidden="1" thickTop="1" thickBot="1">
      <c r="A70" s="149" t="s">
        <v>53</v>
      </c>
      <c r="B70" s="73">
        <f t="shared" ref="B70:G70" si="12">SUM(B63:B68)+B62</f>
        <v>0</v>
      </c>
      <c r="C70" s="150">
        <f t="shared" si="12"/>
        <v>0</v>
      </c>
      <c r="D70" s="150">
        <f t="shared" si="12"/>
        <v>0</v>
      </c>
      <c r="E70" s="150">
        <f t="shared" si="12"/>
        <v>0</v>
      </c>
      <c r="F70" s="150">
        <f t="shared" si="12"/>
        <v>0</v>
      </c>
      <c r="G70" s="150">
        <f t="shared" si="12"/>
        <v>0</v>
      </c>
      <c r="H70" s="107"/>
      <c r="U70" s="145"/>
      <c r="V70" s="145"/>
      <c r="AA70" s="88"/>
    </row>
    <row r="71" spans="1:29" s="69" customFormat="1" ht="8" hidden="1" thickTop="1" thickBot="1">
      <c r="A71" s="261" t="s">
        <v>121</v>
      </c>
      <c r="B71" s="269">
        <f t="shared" ref="B71:G71" si="13">B56-B70</f>
        <v>0</v>
      </c>
      <c r="C71" s="123">
        <f t="shared" si="13"/>
        <v>0</v>
      </c>
      <c r="D71" s="123">
        <f t="shared" si="13"/>
        <v>0</v>
      </c>
      <c r="E71" s="123">
        <f t="shared" si="13"/>
        <v>0</v>
      </c>
      <c r="F71" s="123">
        <f t="shared" si="13"/>
        <v>0</v>
      </c>
      <c r="G71" s="123">
        <f t="shared" si="13"/>
        <v>0</v>
      </c>
      <c r="H71" s="107"/>
      <c r="U71" s="145"/>
      <c r="V71" s="145"/>
      <c r="AA71" s="88"/>
    </row>
    <row r="72" spans="1:29" s="179" customFormat="1" ht="8" hidden="1" thickTop="1" thickBot="1">
      <c r="A72" s="87" t="s">
        <v>75</v>
      </c>
      <c r="B72" s="177" t="str">
        <f t="shared" ref="B72:G72" si="14">IF(B71=0,"","post bal.")</f>
        <v/>
      </c>
      <c r="C72" s="177" t="str">
        <f t="shared" si="14"/>
        <v/>
      </c>
      <c r="D72" s="177" t="str">
        <f t="shared" si="14"/>
        <v/>
      </c>
      <c r="E72" s="177" t="str">
        <f t="shared" si="14"/>
        <v/>
      </c>
      <c r="F72" s="177" t="str">
        <f t="shared" si="14"/>
        <v/>
      </c>
      <c r="G72" s="220" t="str">
        <f t="shared" si="14"/>
        <v/>
      </c>
      <c r="H72" s="202"/>
      <c r="U72" s="145"/>
      <c r="V72" s="145"/>
      <c r="AA72" s="183">
        <f>SUM(B73:Y73)</f>
        <v>0</v>
      </c>
    </row>
    <row r="73" spans="1:29" s="69" customFormat="1" ht="7.5" hidden="1" thickTop="1">
      <c r="B73" s="68">
        <f t="shared" ref="B73:G73" si="15">IF(B72="post bal.",B71,0)</f>
        <v>0</v>
      </c>
      <c r="C73" s="68">
        <f t="shared" si="15"/>
        <v>0</v>
      </c>
      <c r="D73" s="68">
        <f t="shared" si="15"/>
        <v>0</v>
      </c>
      <c r="E73" s="68">
        <f t="shared" si="15"/>
        <v>0</v>
      </c>
      <c r="F73" s="68">
        <f t="shared" si="15"/>
        <v>0</v>
      </c>
      <c r="G73" s="68">
        <f t="shared" si="15"/>
        <v>0</v>
      </c>
      <c r="H73" s="69">
        <f t="shared" ref="H73:O73" si="16">IF(H72="post bal.",H70,0)</f>
        <v>0</v>
      </c>
      <c r="I73" s="69">
        <f t="shared" si="16"/>
        <v>0</v>
      </c>
      <c r="J73" s="69">
        <f t="shared" si="16"/>
        <v>0</v>
      </c>
      <c r="K73" s="69">
        <f t="shared" si="16"/>
        <v>0</v>
      </c>
      <c r="L73" s="69">
        <f t="shared" si="16"/>
        <v>0</v>
      </c>
      <c r="M73" s="69">
        <f t="shared" si="16"/>
        <v>0</v>
      </c>
      <c r="N73" s="69">
        <f t="shared" si="16"/>
        <v>0</v>
      </c>
      <c r="O73" s="69">
        <f t="shared" si="16"/>
        <v>0</v>
      </c>
      <c r="P73" s="69">
        <f>IF(P72="post bal.",P70,0)</f>
        <v>0</v>
      </c>
      <c r="Q73" s="69">
        <f>IF(Q72="post bal.",Q70,0)</f>
        <v>0</v>
      </c>
      <c r="R73" s="69">
        <f>IF(R72="post bal.",R70,0)</f>
        <v>0</v>
      </c>
      <c r="U73" s="145"/>
      <c r="V73" s="145"/>
      <c r="AA73" s="1"/>
      <c r="AB73" s="69" t="s">
        <v>67</v>
      </c>
      <c r="AC73" s="69" t="s">
        <v>67</v>
      </c>
    </row>
    <row r="74" spans="1:29" ht="7.5" hidden="1" thickTop="1">
      <c r="U74" s="145"/>
      <c r="V74" s="145"/>
      <c r="AA74" s="44"/>
    </row>
    <row r="75" spans="1:29" s="44" customFormat="1">
      <c r="U75" s="145"/>
      <c r="V75" s="145"/>
    </row>
    <row r="76" spans="1:29" s="44" customFormat="1">
      <c r="U76" s="145"/>
      <c r="V76" s="145"/>
    </row>
    <row r="77" spans="1:29" s="44" customFormat="1"/>
    <row r="78" spans="1:29" s="44" customFormat="1"/>
    <row r="79" spans="1:29" s="44" customFormat="1"/>
    <row r="80" spans="1:29" s="44" customFormat="1"/>
    <row r="81" s="44" customFormat="1"/>
    <row r="82" s="44" customFormat="1"/>
    <row r="83" s="44" customFormat="1"/>
    <row r="84" s="44" customFormat="1"/>
    <row r="85" s="44" customFormat="1"/>
    <row r="86" s="44" customFormat="1"/>
    <row r="87" s="44" customFormat="1"/>
    <row r="88" s="44" customFormat="1"/>
    <row r="89" s="44" customFormat="1"/>
    <row r="90" s="44" customFormat="1"/>
    <row r="91" s="44" customFormat="1"/>
    <row r="92" s="44" customFormat="1"/>
    <row r="93" s="44" customFormat="1"/>
    <row r="94" s="44" customFormat="1"/>
    <row r="95" s="44" customFormat="1"/>
    <row r="96" s="44" customFormat="1"/>
    <row r="97" spans="27:27" s="44" customFormat="1"/>
    <row r="98" spans="27:27" s="44" customFormat="1"/>
    <row r="99" spans="27:27" s="44" customFormat="1"/>
    <row r="100" spans="27:27" s="44" customFormat="1"/>
    <row r="101" spans="27:27" s="44" customFormat="1"/>
    <row r="102" spans="27:27" s="44" customFormat="1"/>
    <row r="103" spans="27:27" s="44" customFormat="1"/>
    <row r="104" spans="27:27" s="44" customFormat="1"/>
    <row r="105" spans="27:27" s="44" customFormat="1"/>
    <row r="106" spans="27:27" s="44" customFormat="1"/>
    <row r="107" spans="27:27" s="44" customFormat="1"/>
    <row r="108" spans="27:27" s="44" customFormat="1"/>
    <row r="109" spans="27:27" s="44" customFormat="1">
      <c r="AA109" s="1"/>
    </row>
    <row r="110" spans="27:27" s="44" customFormat="1">
      <c r="AA110" s="1"/>
    </row>
    <row r="111" spans="27:27" s="44" customFormat="1">
      <c r="AA111" s="1"/>
    </row>
    <row r="112" spans="27:27">
      <c r="AA112" s="139"/>
    </row>
    <row r="113" spans="5:27">
      <c r="AA113" s="44"/>
    </row>
    <row r="114" spans="5:27"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AA114" s="44"/>
    </row>
    <row r="115" spans="5:27"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AA115" s="44"/>
    </row>
    <row r="116" spans="5:27" s="44" customFormat="1"/>
    <row r="117" spans="5:27" s="44" customFormat="1"/>
    <row r="118" spans="5:27" s="44" customFormat="1"/>
    <row r="119" spans="5:27" s="44" customFormat="1"/>
    <row r="120" spans="5:27" s="44" customFormat="1"/>
    <row r="121" spans="5:27" s="44" customFormat="1"/>
    <row r="122" spans="5:27" s="44" customFormat="1"/>
    <row r="123" spans="5:27" s="44" customFormat="1"/>
    <row r="124" spans="5:27" s="44" customFormat="1"/>
    <row r="125" spans="5:27" s="44" customFormat="1"/>
    <row r="126" spans="5:27" s="44" customFormat="1"/>
    <row r="127" spans="5:27" s="44" customFormat="1"/>
    <row r="128" spans="5:27" s="44" customFormat="1"/>
    <row r="129" spans="27:27" s="44" customFormat="1"/>
    <row r="130" spans="27:27" s="44" customFormat="1"/>
    <row r="131" spans="27:27" s="44" customFormat="1"/>
    <row r="132" spans="27:27" s="44" customFormat="1"/>
    <row r="133" spans="27:27" s="44" customFormat="1"/>
    <row r="134" spans="27:27" s="44" customFormat="1"/>
    <row r="135" spans="27:27" s="44" customFormat="1"/>
    <row r="136" spans="27:27" s="44" customFormat="1"/>
    <row r="137" spans="27:27" s="44" customFormat="1"/>
    <row r="138" spans="27:27" s="44" customFormat="1"/>
    <row r="139" spans="27:27" s="44" customFormat="1"/>
    <row r="140" spans="27:27" s="44" customFormat="1"/>
    <row r="141" spans="27:27" s="44" customFormat="1">
      <c r="AA141" s="1"/>
    </row>
    <row r="142" spans="27:27" s="44" customFormat="1">
      <c r="AA142" s="1"/>
    </row>
    <row r="143" spans="27:27" s="44" customFormat="1">
      <c r="AA143" s="1"/>
    </row>
    <row r="145" spans="6:27">
      <c r="AA145" s="44"/>
    </row>
    <row r="146" spans="6:27">
      <c r="AA146" s="44"/>
    </row>
    <row r="147" spans="6:27"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AA147" s="44"/>
    </row>
    <row r="148" spans="6:27" s="44" customFormat="1"/>
    <row r="149" spans="6:27" s="44" customFormat="1"/>
    <row r="150" spans="6:27" s="44" customFormat="1"/>
    <row r="151" spans="6:27" s="44" customFormat="1"/>
    <row r="152" spans="6:27" s="44" customFormat="1"/>
    <row r="153" spans="6:27" s="44" customFormat="1"/>
    <row r="154" spans="6:27" s="44" customFormat="1"/>
    <row r="155" spans="6:27" s="44" customFormat="1"/>
    <row r="156" spans="6:27" s="44" customFormat="1"/>
    <row r="157" spans="6:27" s="44" customFormat="1"/>
    <row r="158" spans="6:27" s="44" customFormat="1">
      <c r="AA158" s="1"/>
    </row>
    <row r="159" spans="6:27" s="44" customFormat="1">
      <c r="AA159" s="1"/>
    </row>
    <row r="160" spans="6:27" s="44" customFormat="1">
      <c r="AA160" s="1"/>
    </row>
  </sheetData>
  <sheetProtection sheet="1" objects="1" scenarios="1"/>
  <phoneticPr fontId="9" type="noConversion"/>
  <pageMargins left="0.35433070866141736" right="0.35433070866141736" top="0.27559055118110237" bottom="0.27559055118110237" header="0" footer="0.27559055118110237"/>
  <pageSetup paperSize="9" scale="110" orientation="portrait" horizontalDpi="720" verticalDpi="720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T86"/>
  <sheetViews>
    <sheetView showZeros="0" zoomScale="130" zoomScaleNormal="130" workbookViewId="0">
      <pane xSplit="1" topLeftCell="B1" activePane="topRight" state="frozen"/>
      <selection activeCell="R6" sqref="R6"/>
      <selection pane="topRight" activeCell="H36" sqref="H36"/>
    </sheetView>
  </sheetViews>
  <sheetFormatPr defaultRowHeight="7"/>
  <cols>
    <col min="1" max="1" width="51" style="116" customWidth="1"/>
    <col min="2" max="2" width="10.83203125" customWidth="1"/>
    <col min="3" max="5" width="11" customWidth="1"/>
    <col min="6" max="68" width="10.83203125" customWidth="1"/>
    <col min="69" max="69" width="11" customWidth="1"/>
    <col min="70" max="70" width="1.83203125" customWidth="1"/>
  </cols>
  <sheetData>
    <row r="1" spans="1:72" s="1" customFormat="1" ht="35">
      <c r="A1" s="189" t="str">
        <f>Summary!$A$2</f>
        <v>OLYMPIC 2022 FINAL ACCOUNTS</v>
      </c>
      <c r="BR1" s="641" t="str">
        <f>Summary!$T$2</f>
        <v>21 February 2023</v>
      </c>
    </row>
    <row r="2" spans="1:72" s="1" customFormat="1" ht="27.5">
      <c r="A2" s="193" t="s">
        <v>96</v>
      </c>
      <c r="S2" s="191"/>
    </row>
    <row r="3" spans="1:72" s="1" customFormat="1" ht="34.5" customHeight="1" thickBot="1">
      <c r="A3" s="379"/>
      <c r="H3" s="190"/>
      <c r="S3" s="191"/>
    </row>
    <row r="4" spans="1:72" s="59" customFormat="1" ht="11" thickTop="1">
      <c r="A4" s="208" t="s">
        <v>48</v>
      </c>
      <c r="B4" s="18" t="str">
        <f>MAINTENANCE!C3</f>
        <v>Insurance</v>
      </c>
      <c r="C4" s="13" t="str">
        <f>MAINTENANCE!D3</f>
        <v>Licence</v>
      </c>
      <c r="D4" s="18" t="str">
        <f>MAINTENANCE!E3</f>
        <v>Mooring</v>
      </c>
      <c r="E4" s="18" t="str">
        <f>MAINTENANCE!F3</f>
        <v>Kings Lock</v>
      </c>
      <c r="F4" s="18" t="str">
        <f>MAINTENANCE!G3</f>
        <v>J &amp; T Martin</v>
      </c>
      <c r="G4" s="18" t="str">
        <f>MAINTENANCE!H3</f>
        <v>Kee</v>
      </c>
      <c r="H4" s="18" t="str">
        <f>MAINTENANCE!I3</f>
        <v>Fisher</v>
      </c>
      <c r="I4" s="18" t="str">
        <f>MAINTENANCE!J3</f>
        <v>Atlass</v>
      </c>
      <c r="J4" s="18" t="str">
        <f>MAINTENANCE!K3</f>
        <v>Patricia</v>
      </c>
      <c r="K4" s="18" t="str">
        <f>MAINTENANCE!L3</f>
        <v>2023 licence</v>
      </c>
      <c r="L4" s="18" t="str">
        <f>MAINTENANCE!M3</f>
        <v>Kee</v>
      </c>
      <c r="M4" s="744" t="s">
        <v>236</v>
      </c>
      <c r="N4" s="18" t="str">
        <f>MAINTENANCE!O3</f>
        <v>Kee</v>
      </c>
      <c r="O4" s="18">
        <f>MAINTENANCE!P3</f>
        <v>0</v>
      </c>
      <c r="P4" s="18">
        <f>MAINTENANCE!Q3</f>
        <v>0</v>
      </c>
      <c r="Q4" s="18">
        <f>MAINTENANCE!R3</f>
        <v>0</v>
      </c>
      <c r="R4" s="18">
        <f>MAINTENANCE!S3</f>
        <v>0</v>
      </c>
      <c r="S4" s="18">
        <f>MAINTENANCE!T3</f>
        <v>0</v>
      </c>
      <c r="T4" s="18" t="str">
        <f>MAINTENANCE!U3</f>
        <v>unscheduled</v>
      </c>
      <c r="U4" s="18" t="str">
        <f>MAINTENANCE!V3</f>
        <v>James</v>
      </c>
      <c r="V4" s="18" t="str">
        <f>MAINTENANCE!W3</f>
        <v>Kee</v>
      </c>
      <c r="W4" s="18" t="str">
        <f>MAINTENANCE!X3</f>
        <v>unscheduled</v>
      </c>
      <c r="X4" s="18" t="str">
        <f>MAINTENANCE!Y3</f>
        <v>Phil</v>
      </c>
      <c r="Y4" s="18" t="str">
        <f>MAINTENANCE!Z3</f>
        <v>Atlass</v>
      </c>
      <c r="Z4" s="18" t="str">
        <f>MAINTENANCE!AA3</f>
        <v>James</v>
      </c>
      <c r="AA4" s="18" t="str">
        <f>MAINTENANCE!AB3</f>
        <v>unscheduled</v>
      </c>
      <c r="AB4" s="18" t="str">
        <f>MAINTENANCE!AC3</f>
        <v>unscheduled</v>
      </c>
      <c r="AC4" s="18" t="str">
        <f>MAINTENANCE!AD3</f>
        <v>unscheduled</v>
      </c>
      <c r="AD4" s="18" t="str">
        <f>MAINTENANCE!AE3</f>
        <v>unscheduled</v>
      </c>
      <c r="AE4" s="18" t="str">
        <f>MAINTENANCE!AF3</f>
        <v>Phil</v>
      </c>
      <c r="AF4" s="18" t="str">
        <f>MAINTENANCE!AG3</f>
        <v>Atlass</v>
      </c>
      <c r="AG4" s="18" t="str">
        <f>MAINTENANCE!AH3</f>
        <v>unscheduled</v>
      </c>
      <c r="AH4" s="18" t="str">
        <f>MAINTENANCE!AI3</f>
        <v>unscheduled</v>
      </c>
      <c r="AI4" s="18" t="str">
        <f>MAINTENANCE!AJ3</f>
        <v>Martin</v>
      </c>
      <c r="AJ4" s="18" t="str">
        <f>MAINTENANCE!AK3</f>
        <v>unscheduled</v>
      </c>
      <c r="AK4" s="18" t="str">
        <f>MAINTENANCE!AL3</f>
        <v>Kee</v>
      </c>
      <c r="AL4" s="18" t="str">
        <f>MAINTENANCE!AM3</f>
        <v>unscheduled</v>
      </c>
      <c r="AM4" s="18" t="str">
        <f>MAINTENANCE!AN3</f>
        <v>James</v>
      </c>
      <c r="AN4" s="18" t="str">
        <f>MAINTENANCE!AO3</f>
        <v>unscheduled</v>
      </c>
      <c r="AO4" s="18" t="str">
        <f>MAINTENANCE!AP3</f>
        <v>unscheduled</v>
      </c>
      <c r="AP4" s="18" t="str">
        <f>MAINTENANCE!AQ3</f>
        <v>Atlass</v>
      </c>
      <c r="AQ4" s="18" t="str">
        <f>MAINTENANCE!AR3</f>
        <v>unscheduled</v>
      </c>
      <c r="AR4" s="18" t="str">
        <f>MAINTENANCE!AS3</f>
        <v>unscheduled</v>
      </c>
      <c r="AS4" s="18" t="str">
        <f>MAINTENANCE!AT3</f>
        <v>unscheduled</v>
      </c>
      <c r="AT4" s="18" t="str">
        <f>MAINTENANCE!AU3</f>
        <v>Brough</v>
      </c>
      <c r="AU4" s="18" t="str">
        <f>MAINTENANCE!AV3</f>
        <v>unscheduled</v>
      </c>
      <c r="AV4" s="18" t="str">
        <f>MAINTENANCE!AW3</f>
        <v>unscheduled</v>
      </c>
      <c r="AW4" s="18" t="str">
        <f>MAINTENANCE!AX3</f>
        <v>unscheduled</v>
      </c>
      <c r="AX4" s="18" t="str">
        <f>MAINTENANCE!AY3</f>
        <v>unscheduled</v>
      </c>
      <c r="AY4" s="18" t="str">
        <f>MAINTENANCE!AZ3</f>
        <v>unscheduled</v>
      </c>
      <c r="AZ4" s="18" t="str">
        <f>MAINTENANCE!BA3</f>
        <v>unscheduled</v>
      </c>
      <c r="BA4" s="18" t="str">
        <f>MAINTENANCE!BB3</f>
        <v>Kee</v>
      </c>
      <c r="BB4" s="18" t="str">
        <f>MAINTENANCE!BC3</f>
        <v>unscheduled</v>
      </c>
      <c r="BC4" s="18" t="str">
        <f>MAINTENANCE!BD3</f>
        <v>unscheduled</v>
      </c>
      <c r="BD4" s="18" t="str">
        <f>MAINTENANCE!BE3</f>
        <v>unscheduled</v>
      </c>
      <c r="BE4" s="18" t="str">
        <f>MAINTENANCE!BF3</f>
        <v>unscheduled</v>
      </c>
      <c r="BF4" s="18" t="str">
        <f>MAINTENANCE!BG3</f>
        <v>unscheduled</v>
      </c>
      <c r="BG4" s="18" t="str">
        <f>MAINTENANCE!BH3</f>
        <v>unscheduled</v>
      </c>
      <c r="BH4" s="18">
        <f>MAINTENANCE!BI3</f>
        <v>0</v>
      </c>
      <c r="BI4" s="18">
        <f>MAINTENANCE!BJ3</f>
        <v>0</v>
      </c>
      <c r="BJ4" s="18">
        <f>MAINTENANCE!BK3</f>
        <v>0</v>
      </c>
      <c r="BK4" s="18">
        <f>MAINTENANCE!BL3</f>
        <v>0</v>
      </c>
      <c r="BL4" s="18">
        <f>MAINTENANCE!BM3</f>
        <v>0</v>
      </c>
      <c r="BM4" s="18">
        <f>MAINTENANCE!BN3</f>
        <v>0</v>
      </c>
      <c r="BN4" s="18"/>
      <c r="BO4" s="18">
        <f>MAINTENANCE!BO3</f>
        <v>0</v>
      </c>
      <c r="BP4" s="18">
        <f>MAINTENANCE!BP3</f>
        <v>0</v>
      </c>
      <c r="BQ4" s="18">
        <f>MAINTENANCE!BQ3</f>
        <v>0</v>
      </c>
      <c r="BR4" s="60">
        <f>MAINTENANCE!BP3</f>
        <v>0</v>
      </c>
      <c r="BS4" s="15"/>
      <c r="BT4" s="14"/>
    </row>
    <row r="5" spans="1:72">
      <c r="A5" s="197"/>
      <c r="B5" s="198">
        <f>MAINTENANCE!C4</f>
        <v>44591</v>
      </c>
      <c r="C5" s="199">
        <f>MAINTENANCE!D4</f>
        <v>0</v>
      </c>
      <c r="D5" s="198">
        <f>MAINTENANCE!E4</f>
        <v>44854</v>
      </c>
      <c r="E5" s="198">
        <f>MAINTENANCE!F4</f>
        <v>44673</v>
      </c>
      <c r="F5" s="198">
        <f>MAINTENANCE!G4</f>
        <v>44677</v>
      </c>
      <c r="G5" s="198">
        <f>MAINTENANCE!H4</f>
        <v>2</v>
      </c>
      <c r="H5" s="198">
        <f>MAINTENANCE!I4</f>
        <v>44786</v>
      </c>
      <c r="I5" s="198">
        <f>MAINTENANCE!J4</f>
        <v>44784</v>
      </c>
      <c r="J5" s="198">
        <f>MAINTENANCE!K4</f>
        <v>44967</v>
      </c>
      <c r="K5" s="198">
        <f>MAINTENANCE!L4</f>
        <v>0</v>
      </c>
      <c r="L5" s="198">
        <f>MAINTENANCE!M4</f>
        <v>44896</v>
      </c>
      <c r="M5" s="198">
        <f>MAINTENANCE!N4</f>
        <v>45283</v>
      </c>
      <c r="N5" s="198">
        <f>MAINTENANCE!O4</f>
        <v>45234</v>
      </c>
      <c r="O5" s="198">
        <f>MAINTENANCE!P4</f>
        <v>0</v>
      </c>
      <c r="P5" s="198">
        <f>MAINTENANCE!Q4</f>
        <v>0</v>
      </c>
      <c r="Q5" s="198">
        <f>MAINTENANCE!R4</f>
        <v>0</v>
      </c>
      <c r="R5" s="198">
        <f>MAINTENANCE!S4</f>
        <v>0</v>
      </c>
      <c r="S5" s="198">
        <f>MAINTENANCE!T4</f>
        <v>0</v>
      </c>
      <c r="T5" s="198">
        <f>MAINTENANCE!U4</f>
        <v>44686</v>
      </c>
      <c r="U5" s="198">
        <f>MAINTENANCE!V4</f>
        <v>44693</v>
      </c>
      <c r="V5" s="198">
        <f>MAINTENANCE!W4</f>
        <v>44700</v>
      </c>
      <c r="W5" s="198">
        <f>MAINTENANCE!X4</f>
        <v>44707</v>
      </c>
      <c r="X5" s="198">
        <f>MAINTENANCE!Y4</f>
        <v>44714</v>
      </c>
      <c r="Y5" s="198">
        <f>MAINTENANCE!Z4</f>
        <v>44721</v>
      </c>
      <c r="Z5" s="198">
        <f>MAINTENANCE!AA4</f>
        <v>44728</v>
      </c>
      <c r="AA5" s="198">
        <f>MAINTENANCE!AB4</f>
        <v>44735</v>
      </c>
      <c r="AB5" s="198">
        <f>MAINTENANCE!AC4</f>
        <v>44742</v>
      </c>
      <c r="AC5" s="198">
        <f>MAINTENANCE!AD4</f>
        <v>44749</v>
      </c>
      <c r="AD5" s="198">
        <f>MAINTENANCE!AE4</f>
        <v>44756</v>
      </c>
      <c r="AE5" s="198">
        <f>MAINTENANCE!AF4</f>
        <v>44763</v>
      </c>
      <c r="AF5" s="198">
        <f>MAINTENANCE!AG4</f>
        <v>44770</v>
      </c>
      <c r="AG5" s="198">
        <f>MAINTENANCE!AH4</f>
        <v>44777</v>
      </c>
      <c r="AH5" s="198">
        <f>MAINTENANCE!AI4</f>
        <v>44784</v>
      </c>
      <c r="AI5" s="198">
        <f>MAINTENANCE!AJ4</f>
        <v>44791</v>
      </c>
      <c r="AJ5" s="198">
        <f>MAINTENANCE!AK4</f>
        <v>44798</v>
      </c>
      <c r="AK5" s="198">
        <f>MAINTENANCE!AL4</f>
        <v>44805</v>
      </c>
      <c r="AL5" s="198">
        <f>MAINTENANCE!AM4</f>
        <v>44812</v>
      </c>
      <c r="AM5" s="198">
        <f>MAINTENANCE!AN4</f>
        <v>44819</v>
      </c>
      <c r="AN5" s="198">
        <f>MAINTENANCE!AO4</f>
        <v>44826</v>
      </c>
      <c r="AO5" s="198">
        <f>MAINTENANCE!AP4</f>
        <v>44833</v>
      </c>
      <c r="AP5" s="198">
        <f>MAINTENANCE!AQ4</f>
        <v>44840</v>
      </c>
      <c r="AQ5" s="198">
        <f>MAINTENANCE!AR4</f>
        <v>44847</v>
      </c>
      <c r="AR5" s="198">
        <f>MAINTENANCE!AS4</f>
        <v>44854</v>
      </c>
      <c r="AS5" s="198">
        <f>MAINTENANCE!AT4</f>
        <v>44861</v>
      </c>
      <c r="AT5" s="198">
        <f>MAINTENANCE!AU4</f>
        <v>44868</v>
      </c>
      <c r="AU5" s="198">
        <f>MAINTENANCE!AV4</f>
        <v>44875</v>
      </c>
      <c r="AV5" s="198">
        <f>MAINTENANCE!AW4</f>
        <v>44882</v>
      </c>
      <c r="AW5" s="198">
        <f>MAINTENANCE!AX4</f>
        <v>44889</v>
      </c>
      <c r="AX5" s="198">
        <f>MAINTENANCE!AY4</f>
        <v>44896</v>
      </c>
      <c r="AY5" s="198">
        <f>MAINTENANCE!AZ4</f>
        <v>44903</v>
      </c>
      <c r="AZ5" s="198">
        <f>MAINTENANCE!BA4</f>
        <v>44910</v>
      </c>
      <c r="BA5" s="198">
        <f>MAINTENANCE!BB4</f>
        <v>44917</v>
      </c>
      <c r="BB5" s="198">
        <f>MAINTENANCE!BC4</f>
        <v>44924</v>
      </c>
      <c r="BC5" s="198">
        <f>MAINTENANCE!BD4</f>
        <v>44553</v>
      </c>
      <c r="BD5" s="198">
        <f>MAINTENANCE!BE4</f>
        <v>44560</v>
      </c>
      <c r="BE5" s="198">
        <f>MAINTENANCE!BF4</f>
        <v>44567</v>
      </c>
      <c r="BF5" s="198">
        <f>MAINTENANCE!BG4</f>
        <v>44574</v>
      </c>
      <c r="BG5" s="198">
        <f>MAINTENANCE!BH4</f>
        <v>44581</v>
      </c>
      <c r="BH5" s="198">
        <f>MAINTENANCE!BI4</f>
        <v>0</v>
      </c>
      <c r="BI5" s="198">
        <f>MAINTENANCE!BJ4</f>
        <v>0</v>
      </c>
      <c r="BJ5" s="198">
        <f>MAINTENANCE!BK4</f>
        <v>0</v>
      </c>
      <c r="BK5" s="198">
        <f>MAINTENANCE!BL4</f>
        <v>0</v>
      </c>
      <c r="BL5" s="198">
        <f>MAINTENANCE!BM4</f>
        <v>0</v>
      </c>
      <c r="BM5" s="198">
        <f>MAINTENANCE!BN4</f>
        <v>0</v>
      </c>
      <c r="BN5" s="198" t="e">
        <f>MAINTENANCE!#REF!</f>
        <v>#REF!</v>
      </c>
      <c r="BO5" s="198">
        <f>MAINTENANCE!BO4</f>
        <v>0</v>
      </c>
      <c r="BP5" s="198">
        <f>MAINTENANCE!BP4</f>
        <v>0</v>
      </c>
      <c r="BQ5" s="198">
        <f>MAINTENANCE!BQ4</f>
        <v>0</v>
      </c>
      <c r="BR5" s="200">
        <f>MAINTENANCE!BP4</f>
        <v>0</v>
      </c>
      <c r="BS5" s="15"/>
      <c r="BT5" s="14"/>
    </row>
    <row r="6" spans="1:72" s="415" customFormat="1">
      <c r="A6" s="664" t="s">
        <v>239</v>
      </c>
      <c r="B6" s="507"/>
      <c r="C6" s="508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8"/>
      <c r="T6" s="508"/>
      <c r="U6" s="507"/>
      <c r="V6" s="507">
        <v>86.5</v>
      </c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  <c r="AI6" s="507"/>
      <c r="AJ6" s="507"/>
      <c r="AK6" s="507"/>
      <c r="AL6" s="507"/>
      <c r="AM6" s="507"/>
      <c r="AN6" s="508"/>
      <c r="AO6" s="508"/>
      <c r="AP6" s="509"/>
      <c r="AQ6" s="507"/>
      <c r="AR6" s="507"/>
      <c r="AS6" s="507"/>
      <c r="AT6" s="327"/>
      <c r="AU6" s="327"/>
      <c r="AV6" s="327"/>
      <c r="AW6" s="327"/>
      <c r="AX6" s="327"/>
      <c r="AY6" s="327"/>
      <c r="AZ6" s="327"/>
      <c r="BA6" s="329"/>
      <c r="BB6" s="327"/>
      <c r="BC6" s="327"/>
      <c r="BD6" s="327"/>
      <c r="BE6" s="327"/>
      <c r="BF6" s="327"/>
      <c r="BG6" s="327"/>
      <c r="BH6" s="329"/>
      <c r="BI6" s="412"/>
      <c r="BJ6" s="412"/>
      <c r="BK6" s="412"/>
      <c r="BL6" s="412"/>
      <c r="BM6" s="412"/>
      <c r="BN6" s="412"/>
      <c r="BO6" s="412"/>
      <c r="BP6" s="412"/>
      <c r="BQ6" s="412"/>
      <c r="BR6" s="413"/>
      <c r="BS6" s="414"/>
      <c r="BT6" s="395">
        <f>SUM(B6:BR6)</f>
        <v>86.5</v>
      </c>
    </row>
    <row r="7" spans="1:72" s="415" customFormat="1">
      <c r="A7" s="664" t="s">
        <v>240</v>
      </c>
      <c r="B7" s="507"/>
      <c r="C7" s="508"/>
      <c r="D7" s="507"/>
      <c r="E7" s="507"/>
      <c r="F7" s="507"/>
      <c r="G7" s="507"/>
      <c r="H7" s="507"/>
      <c r="I7" s="507"/>
      <c r="J7" s="507"/>
      <c r="K7" s="327"/>
      <c r="L7" s="327"/>
      <c r="M7" s="327"/>
      <c r="N7" s="327"/>
      <c r="O7" s="327"/>
      <c r="P7" s="327"/>
      <c r="Q7" s="327"/>
      <c r="R7" s="327"/>
      <c r="S7" s="329"/>
      <c r="T7" s="329"/>
      <c r="U7" s="330"/>
      <c r="V7" s="327">
        <v>36.799999999999997</v>
      </c>
      <c r="W7" s="327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9"/>
      <c r="AO7" s="329"/>
      <c r="AP7" s="328"/>
      <c r="AQ7" s="327"/>
      <c r="AR7" s="327"/>
      <c r="AS7" s="327"/>
      <c r="AT7" s="327"/>
      <c r="AU7" s="327"/>
      <c r="AV7" s="327"/>
      <c r="AW7" s="327"/>
      <c r="AX7" s="327"/>
      <c r="AY7" s="327"/>
      <c r="AZ7" s="327"/>
      <c r="BA7" s="327"/>
      <c r="BB7" s="327"/>
      <c r="BC7" s="327"/>
      <c r="BD7" s="327"/>
      <c r="BE7" s="327"/>
      <c r="BF7" s="327"/>
      <c r="BG7" s="327"/>
      <c r="BH7" s="329"/>
      <c r="BI7" s="412"/>
      <c r="BJ7" s="412"/>
      <c r="BK7" s="412"/>
      <c r="BL7" s="412"/>
      <c r="BM7" s="412"/>
      <c r="BN7" s="412"/>
      <c r="BO7" s="412"/>
      <c r="BP7" s="412"/>
      <c r="BQ7" s="412"/>
      <c r="BR7" s="413"/>
      <c r="BS7" s="414"/>
      <c r="BT7" s="395">
        <f>SUM(B7:BR7)</f>
        <v>36.799999999999997</v>
      </c>
    </row>
    <row r="8" spans="1:72" s="415" customFormat="1">
      <c r="A8" s="664" t="s">
        <v>241</v>
      </c>
      <c r="B8" s="507"/>
      <c r="C8" s="508"/>
      <c r="D8" s="507"/>
      <c r="E8" s="507"/>
      <c r="F8" s="507"/>
      <c r="G8" s="507"/>
      <c r="H8" s="507"/>
      <c r="I8" s="507"/>
      <c r="J8" s="507"/>
      <c r="K8" s="327"/>
      <c r="L8" s="327"/>
      <c r="M8" s="327"/>
      <c r="N8" s="327"/>
      <c r="O8" s="327"/>
      <c r="P8" s="327"/>
      <c r="Q8" s="327"/>
      <c r="R8" s="327"/>
      <c r="S8" s="329"/>
      <c r="T8" s="329"/>
      <c r="U8" s="330"/>
      <c r="V8" s="327">
        <v>9.9</v>
      </c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9"/>
      <c r="AO8" s="329"/>
      <c r="AP8" s="328"/>
      <c r="AQ8" s="327"/>
      <c r="AR8" s="327"/>
      <c r="AS8" s="327"/>
      <c r="AT8" s="327"/>
      <c r="AU8" s="327"/>
      <c r="AV8" s="327"/>
      <c r="AW8" s="327"/>
      <c r="AX8" s="327"/>
      <c r="AY8" s="327"/>
      <c r="AZ8" s="327"/>
      <c r="BA8" s="327"/>
      <c r="BB8" s="327"/>
      <c r="BC8" s="327"/>
      <c r="BD8" s="327"/>
      <c r="BE8" s="327"/>
      <c r="BF8" s="327"/>
      <c r="BG8" s="327"/>
      <c r="BH8" s="329"/>
      <c r="BI8" s="412"/>
      <c r="BJ8" s="412"/>
      <c r="BK8" s="412"/>
      <c r="BL8" s="412"/>
      <c r="BM8" s="412"/>
      <c r="BN8" s="412"/>
      <c r="BO8" s="412"/>
      <c r="BP8" s="412"/>
      <c r="BQ8" s="412"/>
      <c r="BR8" s="413"/>
      <c r="BS8" s="414"/>
      <c r="BT8" s="395">
        <f>SUM(B8:BR8)</f>
        <v>9.9</v>
      </c>
    </row>
    <row r="9" spans="1:72" s="415" customFormat="1">
      <c r="A9" s="664" t="s">
        <v>242</v>
      </c>
      <c r="B9" s="507"/>
      <c r="C9" s="508"/>
      <c r="D9" s="507"/>
      <c r="E9" s="507"/>
      <c r="F9" s="507"/>
      <c r="G9" s="507"/>
      <c r="H9" s="507"/>
      <c r="I9" s="507"/>
      <c r="J9" s="507"/>
      <c r="K9" s="327"/>
      <c r="L9" s="327"/>
      <c r="M9" s="327"/>
      <c r="N9" s="327"/>
      <c r="O9" s="327"/>
      <c r="P9" s="327"/>
      <c r="Q9" s="327"/>
      <c r="R9" s="327"/>
      <c r="S9" s="329"/>
      <c r="T9" s="329"/>
      <c r="U9" s="330"/>
      <c r="V9" s="327">
        <v>160</v>
      </c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9"/>
      <c r="AO9" s="329"/>
      <c r="AP9" s="328"/>
      <c r="AQ9" s="327"/>
      <c r="AR9" s="327"/>
      <c r="AS9" s="327"/>
      <c r="AT9" s="327"/>
      <c r="AU9" s="327"/>
      <c r="AV9" s="327"/>
      <c r="AW9" s="327"/>
      <c r="AX9" s="327"/>
      <c r="AY9" s="327"/>
      <c r="AZ9" s="327"/>
      <c r="BA9" s="327"/>
      <c r="BB9" s="327"/>
      <c r="BC9" s="327"/>
      <c r="BD9" s="327"/>
      <c r="BE9" s="327"/>
      <c r="BF9" s="327"/>
      <c r="BG9" s="327"/>
      <c r="BH9" s="329"/>
      <c r="BI9" s="412"/>
      <c r="BJ9" s="412"/>
      <c r="BK9" s="412"/>
      <c r="BL9" s="412"/>
      <c r="BM9" s="412"/>
      <c r="BN9" s="412"/>
      <c r="BO9" s="412"/>
      <c r="BP9" s="412"/>
      <c r="BQ9" s="412"/>
      <c r="BR9" s="413"/>
      <c r="BS9" s="414"/>
      <c r="BT9" s="395">
        <f>SUM(B9:BR9)</f>
        <v>160</v>
      </c>
    </row>
    <row r="10" spans="1:72">
      <c r="A10" s="664" t="s">
        <v>244</v>
      </c>
      <c r="B10" s="507"/>
      <c r="C10" s="508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8"/>
      <c r="T10" s="508"/>
      <c r="U10" s="507"/>
      <c r="V10" s="507"/>
      <c r="W10" s="507"/>
      <c r="X10" s="507"/>
      <c r="Y10" s="507">
        <v>58.32</v>
      </c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7"/>
      <c r="AM10" s="507"/>
      <c r="AN10" s="508"/>
      <c r="AO10" s="508"/>
      <c r="AP10" s="509"/>
      <c r="AQ10" s="507"/>
      <c r="AR10" s="507"/>
      <c r="AS10" s="507"/>
      <c r="AT10" s="327"/>
      <c r="AU10" s="327"/>
      <c r="AV10" s="327"/>
      <c r="AW10" s="327"/>
      <c r="AX10" s="327"/>
      <c r="AY10" s="327"/>
      <c r="AZ10" s="327"/>
      <c r="BA10" s="329"/>
      <c r="BB10" s="327"/>
      <c r="BC10" s="327"/>
      <c r="BD10" s="327"/>
      <c r="BE10" s="327"/>
      <c r="BF10" s="327"/>
      <c r="BG10" s="327"/>
      <c r="BH10" s="329"/>
      <c r="BI10" s="52"/>
      <c r="BJ10" s="52"/>
      <c r="BK10" s="52"/>
      <c r="BL10" s="52"/>
      <c r="BM10" s="52"/>
      <c r="BN10" s="52"/>
      <c r="BO10" s="52"/>
      <c r="BP10" s="52"/>
      <c r="BQ10" s="52"/>
      <c r="BR10" s="57"/>
      <c r="BS10" s="45"/>
      <c r="BT10" s="44">
        <f>SUM(C10:BR10)</f>
        <v>58.32</v>
      </c>
    </row>
    <row r="11" spans="1:72" s="415" customFormat="1">
      <c r="A11" s="664" t="s">
        <v>237</v>
      </c>
      <c r="B11" s="507"/>
      <c r="C11" s="508"/>
      <c r="D11" s="507"/>
      <c r="E11" s="507"/>
      <c r="F11" s="507"/>
      <c r="G11" s="507">
        <v>19.98</v>
      </c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8"/>
      <c r="T11" s="508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507"/>
      <c r="AG11" s="507"/>
      <c r="AH11" s="507"/>
      <c r="AI11" s="507"/>
      <c r="AJ11" s="507"/>
      <c r="AK11" s="507"/>
      <c r="AL11" s="507"/>
      <c r="AM11" s="507"/>
      <c r="AN11" s="508"/>
      <c r="AO11" s="508"/>
      <c r="AP11" s="509"/>
      <c r="AQ11" s="507"/>
      <c r="AR11" s="507"/>
      <c r="AS11" s="507"/>
      <c r="AT11" s="507"/>
      <c r="AU11" s="507"/>
      <c r="AV11" s="507"/>
      <c r="AW11" s="507"/>
      <c r="AX11" s="507"/>
      <c r="AY11" s="507"/>
      <c r="AZ11" s="507"/>
      <c r="BA11" s="508"/>
      <c r="BB11" s="507"/>
      <c r="BC11" s="507"/>
      <c r="BD11" s="327"/>
      <c r="BE11" s="327"/>
      <c r="BF11" s="327"/>
      <c r="BG11" s="327"/>
      <c r="BH11" s="329"/>
      <c r="BI11" s="412"/>
      <c r="BJ11" s="412"/>
      <c r="BK11" s="412"/>
      <c r="BL11" s="412"/>
      <c r="BM11" s="412"/>
      <c r="BN11" s="412"/>
      <c r="BO11" s="412"/>
      <c r="BP11" s="412"/>
      <c r="BQ11" s="412"/>
      <c r="BR11" s="413"/>
      <c r="BS11" s="414"/>
      <c r="BT11" s="395">
        <f>SUM(B11:BR11)</f>
        <v>19.98</v>
      </c>
    </row>
    <row r="12" spans="1:72">
      <c r="A12" s="664" t="s">
        <v>251</v>
      </c>
      <c r="B12" s="507"/>
      <c r="C12" s="508"/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8"/>
      <c r="T12" s="508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>
        <v>54.99</v>
      </c>
      <c r="AF12" s="507"/>
      <c r="AG12" s="507"/>
      <c r="AH12" s="507"/>
      <c r="AI12" s="507"/>
      <c r="AJ12" s="507"/>
      <c r="AK12" s="507"/>
      <c r="AL12" s="507"/>
      <c r="AM12" s="507"/>
      <c r="AN12" s="508"/>
      <c r="AO12" s="508"/>
      <c r="AP12" s="509"/>
      <c r="AQ12" s="507"/>
      <c r="AR12" s="507"/>
      <c r="AS12" s="507"/>
      <c r="AT12" s="327"/>
      <c r="AU12" s="327"/>
      <c r="AV12" s="327"/>
      <c r="AW12" s="327"/>
      <c r="AX12" s="327"/>
      <c r="AY12" s="327"/>
      <c r="AZ12" s="327"/>
      <c r="BA12" s="329"/>
      <c r="BB12" s="327"/>
      <c r="BC12" s="327"/>
      <c r="BD12" s="327"/>
      <c r="BE12" s="327"/>
      <c r="BF12" s="327"/>
      <c r="BG12" s="327"/>
      <c r="BH12" s="329"/>
      <c r="BI12" s="52"/>
      <c r="BJ12" s="52"/>
      <c r="BK12" s="52"/>
      <c r="BL12" s="52"/>
      <c r="BM12" s="52"/>
      <c r="BN12" s="52"/>
      <c r="BO12" s="52"/>
      <c r="BP12" s="52"/>
      <c r="BQ12" s="52"/>
      <c r="BR12" s="57"/>
      <c r="BS12" s="45"/>
      <c r="BT12" s="44">
        <f t="shared" ref="BT12:BT13" si="0">SUM(C12:BR12)</f>
        <v>54.99</v>
      </c>
    </row>
    <row r="13" spans="1:72">
      <c r="A13" s="664" t="s">
        <v>252</v>
      </c>
      <c r="B13" s="507"/>
      <c r="C13" s="508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8"/>
      <c r="T13" s="508"/>
      <c r="U13" s="507"/>
      <c r="V13" s="507"/>
      <c r="W13" s="507"/>
      <c r="X13" s="507"/>
      <c r="Y13" s="507"/>
      <c r="Z13" s="507"/>
      <c r="AA13" s="507"/>
      <c r="AB13" s="507"/>
      <c r="AC13" s="507"/>
      <c r="AD13" s="507"/>
      <c r="AE13" s="507">
        <v>14</v>
      </c>
      <c r="AF13" s="507"/>
      <c r="AG13" s="507"/>
      <c r="AH13" s="507"/>
      <c r="AI13" s="507"/>
      <c r="AJ13" s="507"/>
      <c r="AK13" s="507"/>
      <c r="AL13" s="507"/>
      <c r="AM13" s="507"/>
      <c r="AN13" s="508"/>
      <c r="AO13" s="508"/>
      <c r="AP13" s="509"/>
      <c r="AQ13" s="507"/>
      <c r="AR13" s="507"/>
      <c r="AS13" s="507"/>
      <c r="AT13" s="327"/>
      <c r="AU13" s="327"/>
      <c r="AV13" s="327"/>
      <c r="AW13" s="327"/>
      <c r="AX13" s="327"/>
      <c r="AY13" s="327"/>
      <c r="AZ13" s="327"/>
      <c r="BA13" s="329"/>
      <c r="BB13" s="327"/>
      <c r="BC13" s="327"/>
      <c r="BD13" s="327"/>
      <c r="BE13" s="327"/>
      <c r="BF13" s="327"/>
      <c r="BG13" s="327"/>
      <c r="BH13" s="329"/>
      <c r="BI13" s="52"/>
      <c r="BJ13" s="52"/>
      <c r="BK13" s="52"/>
      <c r="BL13" s="52"/>
      <c r="BM13" s="52"/>
      <c r="BN13" s="52"/>
      <c r="BO13" s="52"/>
      <c r="BP13" s="52"/>
      <c r="BQ13" s="52"/>
      <c r="BR13" s="57"/>
      <c r="BS13" s="45"/>
      <c r="BT13" s="44">
        <f t="shared" si="0"/>
        <v>14</v>
      </c>
    </row>
    <row r="14" spans="1:72" s="415" customFormat="1">
      <c r="A14" s="450" t="s">
        <v>262</v>
      </c>
      <c r="B14" s="327"/>
      <c r="C14" s="329"/>
      <c r="D14" s="327"/>
      <c r="E14" s="327"/>
      <c r="F14" s="327"/>
      <c r="G14" s="327"/>
      <c r="H14" s="327"/>
      <c r="I14" s="327"/>
      <c r="J14" s="327"/>
      <c r="K14" s="327">
        <v>290.99</v>
      </c>
      <c r="L14" s="327"/>
      <c r="M14" s="327"/>
      <c r="N14" s="327"/>
      <c r="O14" s="327"/>
      <c r="P14" s="327"/>
      <c r="Q14" s="327"/>
      <c r="R14" s="327"/>
      <c r="S14" s="329"/>
      <c r="T14" s="329"/>
      <c r="U14" s="330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9"/>
      <c r="AO14" s="329"/>
      <c r="AP14" s="328"/>
      <c r="AQ14" s="327"/>
      <c r="AR14" s="327"/>
      <c r="AS14" s="327"/>
      <c r="AT14" s="327"/>
      <c r="AU14" s="327"/>
      <c r="AV14" s="327"/>
      <c r="AW14" s="327"/>
      <c r="AX14" s="327"/>
      <c r="AY14" s="327"/>
      <c r="AZ14" s="327"/>
      <c r="BA14" s="327"/>
      <c r="BB14" s="327"/>
      <c r="BC14" s="327"/>
      <c r="BD14" s="327"/>
      <c r="BE14" s="327"/>
      <c r="BF14" s="327"/>
      <c r="BG14" s="327"/>
      <c r="BH14" s="329"/>
      <c r="BI14" s="412"/>
      <c r="BJ14" s="412"/>
      <c r="BK14" s="412"/>
      <c r="BL14" s="412"/>
      <c r="BM14" s="412"/>
      <c r="BN14" s="412"/>
      <c r="BO14" s="412"/>
      <c r="BP14" s="412"/>
      <c r="BQ14" s="412"/>
      <c r="BR14" s="413"/>
      <c r="BS14" s="414"/>
      <c r="BT14" s="395">
        <f>SUM(B14:BR14)</f>
        <v>290.99</v>
      </c>
    </row>
    <row r="15" spans="1:72">
      <c r="A15" s="450" t="s">
        <v>267</v>
      </c>
      <c r="B15" s="327"/>
      <c r="C15" s="329"/>
      <c r="D15" s="327"/>
      <c r="E15" s="327"/>
      <c r="F15" s="327"/>
      <c r="G15" s="327"/>
      <c r="H15" s="327"/>
      <c r="I15" s="327"/>
      <c r="J15" s="327"/>
      <c r="K15" s="327"/>
      <c r="L15" s="327">
        <v>6.95</v>
      </c>
      <c r="M15" s="327"/>
      <c r="N15" s="327"/>
      <c r="O15" s="327"/>
      <c r="P15" s="327"/>
      <c r="Q15" s="327"/>
      <c r="R15" s="327"/>
      <c r="S15" s="329"/>
      <c r="T15" s="329"/>
      <c r="U15" s="330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9"/>
      <c r="AO15" s="329"/>
      <c r="AP15" s="328"/>
      <c r="AQ15" s="327"/>
      <c r="AR15" s="327"/>
      <c r="AS15" s="327"/>
      <c r="AT15" s="327"/>
      <c r="AU15" s="327"/>
      <c r="AV15" s="327"/>
      <c r="AW15" s="327"/>
      <c r="AX15" s="327"/>
      <c r="AY15" s="327"/>
      <c r="AZ15" s="327"/>
      <c r="BA15" s="327"/>
      <c r="BB15" s="327"/>
      <c r="BC15" s="327"/>
      <c r="BD15" s="327"/>
      <c r="BE15" s="327"/>
      <c r="BF15" s="327"/>
      <c r="BG15" s="327"/>
      <c r="BH15" s="329"/>
      <c r="BI15" s="52"/>
      <c r="BJ15" s="52"/>
      <c r="BK15" s="52"/>
      <c r="BL15" s="52"/>
      <c r="BM15" s="52"/>
      <c r="BN15" s="52"/>
      <c r="BO15" s="52"/>
      <c r="BP15" s="52"/>
      <c r="BQ15" s="52"/>
      <c r="BR15" s="57"/>
      <c r="BS15" s="45"/>
      <c r="BT15" s="395">
        <f t="shared" ref="BT15" si="1">SUM(B15:BR15)</f>
        <v>6.95</v>
      </c>
    </row>
    <row r="16" spans="1:72" ht="7" customHeight="1">
      <c r="A16" s="450" t="s">
        <v>268</v>
      </c>
      <c r="B16" s="327"/>
      <c r="C16" s="329"/>
      <c r="D16" s="327"/>
      <c r="E16" s="327"/>
      <c r="F16" s="327"/>
      <c r="G16" s="327"/>
      <c r="H16" s="327"/>
      <c r="I16" s="327"/>
      <c r="J16" s="327"/>
      <c r="K16" s="327"/>
      <c r="L16" s="327">
        <v>93.04</v>
      </c>
      <c r="M16" s="327"/>
      <c r="N16" s="327"/>
      <c r="O16" s="327"/>
      <c r="P16" s="327"/>
      <c r="Q16" s="327"/>
      <c r="R16" s="327"/>
      <c r="S16" s="329"/>
      <c r="T16" s="329"/>
      <c r="U16" s="330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9"/>
      <c r="AO16" s="329"/>
      <c r="AP16" s="328"/>
      <c r="AQ16" s="327"/>
      <c r="AR16" s="327"/>
      <c r="AS16" s="327"/>
      <c r="AT16" s="327"/>
      <c r="AU16" s="327"/>
      <c r="AV16" s="327"/>
      <c r="AW16" s="327"/>
      <c r="AX16" s="327"/>
      <c r="AY16" s="327"/>
      <c r="AZ16" s="327"/>
      <c r="BA16" s="327"/>
      <c r="BB16" s="327"/>
      <c r="BC16" s="327"/>
      <c r="BD16" s="327"/>
      <c r="BE16" s="327"/>
      <c r="BF16" s="327"/>
      <c r="BG16" s="327"/>
      <c r="BH16" s="329"/>
      <c r="BI16" s="52"/>
      <c r="BJ16" s="52"/>
      <c r="BK16" s="52"/>
      <c r="BL16" s="52"/>
      <c r="BM16" s="52"/>
      <c r="BN16" s="52"/>
      <c r="BO16" s="52"/>
      <c r="BP16" s="52"/>
      <c r="BQ16" s="52"/>
      <c r="BR16" s="57"/>
      <c r="BS16" s="45"/>
      <c r="BT16" s="395">
        <f t="shared" ref="BT16" si="2">SUM(B16:BR16)</f>
        <v>93.04</v>
      </c>
    </row>
    <row r="17" spans="1:72" ht="7" customHeight="1">
      <c r="A17" s="450" t="s">
        <v>271</v>
      </c>
      <c r="B17" s="327"/>
      <c r="C17" s="329"/>
      <c r="D17" s="327"/>
      <c r="E17" s="327"/>
      <c r="F17" s="327"/>
      <c r="G17" s="327"/>
      <c r="H17" s="327"/>
      <c r="I17" s="327"/>
      <c r="J17" s="327"/>
      <c r="K17" s="327"/>
      <c r="L17" s="327"/>
      <c r="M17" s="327">
        <v>436.28</v>
      </c>
      <c r="N17" s="327"/>
      <c r="O17" s="327"/>
      <c r="P17" s="327"/>
      <c r="Q17" s="327"/>
      <c r="R17" s="327"/>
      <c r="S17" s="329"/>
      <c r="T17" s="329"/>
      <c r="U17" s="330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9"/>
      <c r="AO17" s="329"/>
      <c r="AP17" s="328"/>
      <c r="AQ17" s="327"/>
      <c r="AR17" s="327"/>
      <c r="AS17" s="327"/>
      <c r="AT17" s="327"/>
      <c r="AU17" s="327"/>
      <c r="AV17" s="327"/>
      <c r="AW17" s="327"/>
      <c r="AX17" s="327"/>
      <c r="AY17" s="327"/>
      <c r="AZ17" s="327"/>
      <c r="BA17" s="327"/>
      <c r="BB17" s="327"/>
      <c r="BC17" s="327"/>
      <c r="BD17" s="327"/>
      <c r="BE17" s="327"/>
      <c r="BF17" s="327"/>
      <c r="BG17" s="327"/>
      <c r="BH17" s="329"/>
      <c r="BI17" s="52"/>
      <c r="BJ17" s="52"/>
      <c r="BK17" s="52"/>
      <c r="BL17" s="52"/>
      <c r="BM17" s="52"/>
      <c r="BN17" s="52"/>
      <c r="BO17" s="52"/>
      <c r="BP17" s="52"/>
      <c r="BQ17" s="52"/>
      <c r="BR17" s="57"/>
      <c r="BS17" s="45"/>
      <c r="BT17" s="395">
        <f t="shared" ref="BT17:BT23" si="3">SUM(B17:BR17)</f>
        <v>436.28</v>
      </c>
    </row>
    <row r="18" spans="1:72" s="785" customFormat="1">
      <c r="A18" s="776" t="s">
        <v>282</v>
      </c>
      <c r="B18" s="777"/>
      <c r="C18" s="778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8"/>
      <c r="T18" s="778"/>
      <c r="U18" s="779"/>
      <c r="V18" s="777"/>
      <c r="W18" s="777"/>
      <c r="X18" s="777"/>
      <c r="Y18" s="777"/>
      <c r="Z18" s="777"/>
      <c r="AA18" s="777"/>
      <c r="AB18" s="777"/>
      <c r="AC18" s="777"/>
      <c r="AD18" s="777"/>
      <c r="AE18" s="777"/>
      <c r="AF18" s="777"/>
      <c r="AG18" s="777"/>
      <c r="AH18" s="777"/>
      <c r="AI18" s="777"/>
      <c r="AJ18" s="777"/>
      <c r="AK18" s="777"/>
      <c r="AL18" s="777"/>
      <c r="AM18" s="777"/>
      <c r="AN18" s="778"/>
      <c r="AO18" s="778"/>
      <c r="AP18" s="780"/>
      <c r="AQ18" s="777"/>
      <c r="AR18" s="777"/>
      <c r="AS18" s="777"/>
      <c r="AT18" s="777"/>
      <c r="AU18" s="777"/>
      <c r="AV18" s="777"/>
      <c r="AW18" s="777"/>
      <c r="AX18" s="777"/>
      <c r="AY18" s="777"/>
      <c r="AZ18" s="777"/>
      <c r="BA18" s="777"/>
      <c r="BB18" s="777"/>
      <c r="BC18" s="777"/>
      <c r="BD18" s="777"/>
      <c r="BE18" s="777"/>
      <c r="BF18" s="777"/>
      <c r="BG18" s="777"/>
      <c r="BH18" s="778"/>
      <c r="BI18" s="781"/>
      <c r="BJ18" s="781"/>
      <c r="BK18" s="781"/>
      <c r="BL18" s="781"/>
      <c r="BM18" s="781"/>
      <c r="BN18" s="781"/>
      <c r="BO18" s="781"/>
      <c r="BP18" s="781"/>
      <c r="BQ18" s="781"/>
      <c r="BR18" s="782"/>
      <c r="BS18" s="783"/>
      <c r="BT18" s="784">
        <f t="shared" si="3"/>
        <v>0</v>
      </c>
    </row>
    <row r="19" spans="1:72" s="415" customFormat="1">
      <c r="A19" s="450"/>
      <c r="B19" s="327"/>
      <c r="C19" s="329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9"/>
      <c r="T19" s="329"/>
      <c r="U19" s="330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  <c r="AJ19" s="327"/>
      <c r="AK19" s="327"/>
      <c r="AL19" s="327"/>
      <c r="AM19" s="327"/>
      <c r="AN19" s="329"/>
      <c r="AO19" s="329"/>
      <c r="AP19" s="328"/>
      <c r="AQ19" s="327"/>
      <c r="AR19" s="327"/>
      <c r="AS19" s="327"/>
      <c r="AT19" s="327"/>
      <c r="AU19" s="327"/>
      <c r="AV19" s="327"/>
      <c r="AW19" s="327"/>
      <c r="AX19" s="327"/>
      <c r="AY19" s="327"/>
      <c r="AZ19" s="327"/>
      <c r="BA19" s="327"/>
      <c r="BB19" s="327"/>
      <c r="BC19" s="327"/>
      <c r="BD19" s="327"/>
      <c r="BE19" s="327"/>
      <c r="BF19" s="327"/>
      <c r="BG19" s="327"/>
      <c r="BH19" s="329"/>
      <c r="BI19" s="412"/>
      <c r="BJ19" s="412"/>
      <c r="BK19" s="412"/>
      <c r="BL19" s="412"/>
      <c r="BM19" s="412"/>
      <c r="BN19" s="412"/>
      <c r="BO19" s="412"/>
      <c r="BP19" s="412"/>
      <c r="BQ19" s="412"/>
      <c r="BR19" s="413"/>
      <c r="BS19" s="414"/>
      <c r="BT19" s="395">
        <f t="shared" si="3"/>
        <v>0</v>
      </c>
    </row>
    <row r="20" spans="1:72" s="415" customFormat="1">
      <c r="A20" s="450"/>
      <c r="B20" s="327"/>
      <c r="C20" s="329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9"/>
      <c r="T20" s="329"/>
      <c r="U20" s="330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9"/>
      <c r="AO20" s="329"/>
      <c r="AP20" s="328"/>
      <c r="AQ20" s="327"/>
      <c r="AR20" s="327"/>
      <c r="AS20" s="327"/>
      <c r="AT20" s="327"/>
      <c r="AU20" s="327"/>
      <c r="AV20" s="327"/>
      <c r="AW20" s="327"/>
      <c r="AX20" s="327"/>
      <c r="AY20" s="327"/>
      <c r="AZ20" s="327"/>
      <c r="BA20" s="327"/>
      <c r="BB20" s="327"/>
      <c r="BC20" s="327"/>
      <c r="BD20" s="327"/>
      <c r="BE20" s="327"/>
      <c r="BF20" s="327"/>
      <c r="BG20" s="327"/>
      <c r="BH20" s="329"/>
      <c r="BI20" s="412"/>
      <c r="BJ20" s="412"/>
      <c r="BK20" s="412"/>
      <c r="BL20" s="412"/>
      <c r="BM20" s="412"/>
      <c r="BN20" s="412"/>
      <c r="BO20" s="412"/>
      <c r="BP20" s="412"/>
      <c r="BQ20" s="412"/>
      <c r="BR20" s="413"/>
      <c r="BS20" s="414"/>
      <c r="BT20" s="395">
        <f t="shared" si="3"/>
        <v>0</v>
      </c>
    </row>
    <row r="21" spans="1:72" s="415" customFormat="1">
      <c r="A21" s="450"/>
      <c r="B21" s="327"/>
      <c r="C21" s="329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9"/>
      <c r="T21" s="329"/>
      <c r="U21" s="330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7"/>
      <c r="AL21" s="327"/>
      <c r="AM21" s="327"/>
      <c r="AN21" s="329"/>
      <c r="AO21" s="329"/>
      <c r="AP21" s="328"/>
      <c r="AQ21" s="327"/>
      <c r="AR21" s="327"/>
      <c r="AS21" s="327"/>
      <c r="AT21" s="327"/>
      <c r="AU21" s="327"/>
      <c r="AV21" s="327"/>
      <c r="AW21" s="327"/>
      <c r="AX21" s="327"/>
      <c r="AY21" s="327"/>
      <c r="AZ21" s="327"/>
      <c r="BA21" s="327"/>
      <c r="BB21" s="327"/>
      <c r="BC21" s="327"/>
      <c r="BD21" s="327"/>
      <c r="BE21" s="327"/>
      <c r="BF21" s="327"/>
      <c r="BG21" s="327"/>
      <c r="BH21" s="329"/>
      <c r="BI21" s="412"/>
      <c r="BJ21" s="412"/>
      <c r="BK21" s="412"/>
      <c r="BL21" s="412"/>
      <c r="BM21" s="412"/>
      <c r="BN21" s="412"/>
      <c r="BO21" s="412"/>
      <c r="BP21" s="412"/>
      <c r="BQ21" s="412"/>
      <c r="BR21" s="413"/>
      <c r="BS21" s="414"/>
      <c r="BT21" s="395">
        <f t="shared" si="3"/>
        <v>0</v>
      </c>
    </row>
    <row r="22" spans="1:72" s="415" customFormat="1">
      <c r="A22" s="450"/>
      <c r="B22" s="327"/>
      <c r="C22" s="329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9"/>
      <c r="T22" s="329"/>
      <c r="U22" s="330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9"/>
      <c r="AO22" s="329"/>
      <c r="AP22" s="328"/>
      <c r="AQ22" s="327"/>
      <c r="AR22" s="327"/>
      <c r="AS22" s="327"/>
      <c r="AT22" s="327"/>
      <c r="AU22" s="327"/>
      <c r="AV22" s="327"/>
      <c r="AW22" s="327"/>
      <c r="AX22" s="327"/>
      <c r="AY22" s="327"/>
      <c r="AZ22" s="327"/>
      <c r="BA22" s="327"/>
      <c r="BB22" s="327"/>
      <c r="BC22" s="327"/>
      <c r="BD22" s="327"/>
      <c r="BE22" s="327"/>
      <c r="BF22" s="327"/>
      <c r="BG22" s="327"/>
      <c r="BH22" s="329"/>
      <c r="BI22" s="412"/>
      <c r="BJ22" s="412"/>
      <c r="BK22" s="412"/>
      <c r="BL22" s="412"/>
      <c r="BM22" s="412"/>
      <c r="BN22" s="412"/>
      <c r="BO22" s="412"/>
      <c r="BP22" s="412"/>
      <c r="BQ22" s="412"/>
      <c r="BR22" s="413"/>
      <c r="BS22" s="414"/>
      <c r="BT22" s="395">
        <f t="shared" si="3"/>
        <v>0</v>
      </c>
    </row>
    <row r="23" spans="1:72" s="415" customFormat="1">
      <c r="A23" s="450"/>
      <c r="B23" s="327"/>
      <c r="C23" s="329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9"/>
      <c r="T23" s="329"/>
      <c r="U23" s="330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9"/>
      <c r="AO23" s="329"/>
      <c r="AP23" s="328"/>
      <c r="AQ23" s="327"/>
      <c r="AR23" s="327"/>
      <c r="AS23" s="327"/>
      <c r="AT23" s="327"/>
      <c r="AU23" s="327"/>
      <c r="AV23" s="327"/>
      <c r="AW23" s="327"/>
      <c r="AX23" s="327"/>
      <c r="AY23" s="327"/>
      <c r="AZ23" s="327"/>
      <c r="BA23" s="327"/>
      <c r="BB23" s="327"/>
      <c r="BC23" s="327"/>
      <c r="BD23" s="327"/>
      <c r="BE23" s="327"/>
      <c r="BF23" s="327"/>
      <c r="BG23" s="327"/>
      <c r="BH23" s="329"/>
      <c r="BI23" s="412"/>
      <c r="BJ23" s="412"/>
      <c r="BK23" s="412"/>
      <c r="BL23" s="412"/>
      <c r="BM23" s="412"/>
      <c r="BN23" s="412"/>
      <c r="BO23" s="412"/>
      <c r="BP23" s="412"/>
      <c r="BQ23" s="412"/>
      <c r="BR23" s="413"/>
      <c r="BS23" s="414"/>
      <c r="BT23" s="395">
        <f t="shared" si="3"/>
        <v>0</v>
      </c>
    </row>
    <row r="24" spans="1:72" s="415" customFormat="1">
      <c r="A24" s="450"/>
      <c r="B24" s="327"/>
      <c r="C24" s="329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9"/>
      <c r="T24" s="329"/>
      <c r="U24" s="330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9"/>
      <c r="AO24" s="329"/>
      <c r="AP24" s="328"/>
      <c r="AQ24" s="327"/>
      <c r="AR24" s="327"/>
      <c r="AS24" s="327"/>
      <c r="AT24" s="327"/>
      <c r="AU24" s="327"/>
      <c r="AV24" s="327"/>
      <c r="AW24" s="327"/>
      <c r="AX24" s="327"/>
      <c r="AY24" s="327"/>
      <c r="AZ24" s="327"/>
      <c r="BA24" s="327"/>
      <c r="BB24" s="327"/>
      <c r="BC24" s="327"/>
      <c r="BD24" s="327"/>
      <c r="BE24" s="327"/>
      <c r="BF24" s="327"/>
      <c r="BG24" s="327"/>
      <c r="BH24" s="329"/>
      <c r="BI24" s="412"/>
      <c r="BJ24" s="412"/>
      <c r="BK24" s="412"/>
      <c r="BL24" s="412"/>
      <c r="BM24" s="412"/>
      <c r="BN24" s="412"/>
      <c r="BO24" s="412"/>
      <c r="BP24" s="412"/>
      <c r="BQ24" s="412"/>
      <c r="BR24" s="413"/>
      <c r="BS24" s="414"/>
      <c r="BT24" s="395">
        <f>SUM(B24:BR24)</f>
        <v>0</v>
      </c>
    </row>
    <row r="25" spans="1:72" s="415" customFormat="1">
      <c r="A25" s="450"/>
      <c r="B25" s="327"/>
      <c r="C25" s="329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9"/>
      <c r="T25" s="329"/>
      <c r="U25" s="330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9"/>
      <c r="AO25" s="329"/>
      <c r="AP25" s="328"/>
      <c r="AQ25" s="327"/>
      <c r="AR25" s="327"/>
      <c r="AS25" s="327"/>
      <c r="AT25" s="327"/>
      <c r="AU25" s="327"/>
      <c r="AV25" s="327"/>
      <c r="AW25" s="327"/>
      <c r="AX25" s="327"/>
      <c r="AY25" s="327"/>
      <c r="AZ25" s="327"/>
      <c r="BA25" s="327"/>
      <c r="BB25" s="327"/>
      <c r="BC25" s="327"/>
      <c r="BD25" s="327"/>
      <c r="BE25" s="327"/>
      <c r="BF25" s="327"/>
      <c r="BG25" s="327"/>
      <c r="BH25" s="329"/>
      <c r="BI25" s="412"/>
      <c r="BJ25" s="412"/>
      <c r="BK25" s="412"/>
      <c r="BL25" s="412"/>
      <c r="BM25" s="412"/>
      <c r="BN25" s="412"/>
      <c r="BO25" s="412"/>
      <c r="BP25" s="412"/>
      <c r="BQ25" s="412"/>
      <c r="BR25" s="413"/>
      <c r="BS25" s="414"/>
      <c r="BT25" s="395">
        <f>SUM(B25:BR25)</f>
        <v>0</v>
      </c>
    </row>
    <row r="26" spans="1:72" s="415" customFormat="1">
      <c r="A26" s="450"/>
      <c r="B26" s="327"/>
      <c r="C26" s="329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9"/>
      <c r="T26" s="329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9"/>
      <c r="AO26" s="329"/>
      <c r="AP26" s="328"/>
      <c r="AQ26" s="327"/>
      <c r="AR26" s="327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/>
      <c r="BD26" s="327"/>
      <c r="BE26" s="327"/>
      <c r="BF26" s="327"/>
      <c r="BG26" s="327"/>
      <c r="BH26" s="329"/>
      <c r="BI26" s="412"/>
      <c r="BJ26" s="412"/>
      <c r="BK26" s="412"/>
      <c r="BL26" s="412"/>
      <c r="BM26" s="412"/>
      <c r="BN26" s="412"/>
      <c r="BO26" s="412"/>
      <c r="BP26" s="412"/>
      <c r="BQ26" s="412"/>
      <c r="BR26" s="413"/>
      <c r="BS26" s="414"/>
      <c r="BT26" s="395">
        <f t="shared" ref="BT26:BT32" si="4">SUM(B26:BR26)</f>
        <v>0</v>
      </c>
    </row>
    <row r="27" spans="1:72">
      <c r="A27" s="450"/>
      <c r="B27" s="327"/>
      <c r="C27" s="329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9"/>
      <c r="T27" s="329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9"/>
      <c r="AO27" s="329"/>
      <c r="AP27" s="328"/>
      <c r="AQ27" s="327"/>
      <c r="AR27" s="327"/>
      <c r="AS27" s="327"/>
      <c r="AT27" s="327"/>
      <c r="AU27" s="327"/>
      <c r="AV27" s="327"/>
      <c r="AW27" s="327"/>
      <c r="AX27" s="327"/>
      <c r="AY27" s="327"/>
      <c r="AZ27" s="327"/>
      <c r="BA27" s="329"/>
      <c r="BB27" s="327"/>
      <c r="BC27" s="327"/>
      <c r="BD27" s="327"/>
      <c r="BE27" s="327"/>
      <c r="BF27" s="327"/>
      <c r="BG27" s="327"/>
      <c r="BH27" s="329"/>
      <c r="BI27" s="52"/>
      <c r="BJ27" s="52"/>
      <c r="BK27" s="52"/>
      <c r="BL27" s="52"/>
      <c r="BM27" s="52"/>
      <c r="BN27" s="52"/>
      <c r="BO27" s="52"/>
      <c r="BP27" s="52"/>
      <c r="BQ27" s="52"/>
      <c r="BR27" s="57"/>
      <c r="BS27" s="45"/>
      <c r="BT27" s="44">
        <f>SUM(B27:BR27)</f>
        <v>0</v>
      </c>
    </row>
    <row r="28" spans="1:72">
      <c r="A28" s="450"/>
      <c r="B28" s="327"/>
      <c r="C28" s="329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9"/>
      <c r="T28" s="329"/>
      <c r="U28" s="330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9"/>
      <c r="AO28" s="329"/>
      <c r="AP28" s="328"/>
      <c r="AQ28" s="327"/>
      <c r="AR28" s="327"/>
      <c r="AS28" s="327"/>
      <c r="AT28" s="327"/>
      <c r="AU28" s="327"/>
      <c r="AV28" s="327"/>
      <c r="AW28" s="327"/>
      <c r="AX28" s="327"/>
      <c r="AY28" s="327"/>
      <c r="AZ28" s="327"/>
      <c r="BA28" s="327"/>
      <c r="BB28" s="327"/>
      <c r="BC28" s="327"/>
      <c r="BD28" s="327"/>
      <c r="BE28" s="327"/>
      <c r="BF28" s="327"/>
      <c r="BG28" s="327"/>
      <c r="BH28" s="329"/>
      <c r="BI28" s="52"/>
      <c r="BJ28" s="52"/>
      <c r="BK28" s="52"/>
      <c r="BL28" s="52"/>
      <c r="BM28" s="52"/>
      <c r="BN28" s="52"/>
      <c r="BO28" s="52"/>
      <c r="BP28" s="52"/>
      <c r="BQ28" s="52"/>
      <c r="BR28" s="57"/>
      <c r="BS28" s="45"/>
      <c r="BT28" s="44">
        <f>SUM(B28:BR28)</f>
        <v>0</v>
      </c>
    </row>
    <row r="29" spans="1:72" s="415" customFormat="1">
      <c r="A29" s="450"/>
      <c r="B29" s="327"/>
      <c r="C29" s="329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9"/>
      <c r="T29" s="329"/>
      <c r="U29" s="330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9"/>
      <c r="AO29" s="329"/>
      <c r="AP29" s="328"/>
      <c r="AQ29" s="327"/>
      <c r="AR29" s="327"/>
      <c r="AS29" s="327"/>
      <c r="AT29" s="327"/>
      <c r="AU29" s="327"/>
      <c r="AV29" s="327"/>
      <c r="AW29" s="327"/>
      <c r="AX29" s="327"/>
      <c r="AY29" s="327"/>
      <c r="AZ29" s="327"/>
      <c r="BA29" s="327"/>
      <c r="BB29" s="327"/>
      <c r="BC29" s="327"/>
      <c r="BD29" s="327"/>
      <c r="BE29" s="327"/>
      <c r="BF29" s="327"/>
      <c r="BG29" s="327"/>
      <c r="BH29" s="329"/>
      <c r="BI29" s="412"/>
      <c r="BJ29" s="412"/>
      <c r="BK29" s="412"/>
      <c r="BL29" s="412"/>
      <c r="BM29" s="412"/>
      <c r="BN29" s="412"/>
      <c r="BO29" s="412"/>
      <c r="BP29" s="412"/>
      <c r="BQ29" s="412"/>
      <c r="BR29" s="413"/>
      <c r="BS29" s="414"/>
      <c r="BT29" s="395">
        <f t="shared" si="4"/>
        <v>0</v>
      </c>
    </row>
    <row r="30" spans="1:72" s="415" customFormat="1">
      <c r="A30" s="331"/>
      <c r="B30" s="327"/>
      <c r="C30" s="329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9"/>
      <c r="T30" s="329"/>
      <c r="U30" s="330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9"/>
      <c r="AO30" s="329"/>
      <c r="AP30" s="328"/>
      <c r="AQ30" s="327"/>
      <c r="AR30" s="327"/>
      <c r="AS30" s="327"/>
      <c r="AT30" s="327"/>
      <c r="AU30" s="327"/>
      <c r="AV30" s="327"/>
      <c r="AW30" s="327"/>
      <c r="AX30" s="327"/>
      <c r="AY30" s="327"/>
      <c r="AZ30" s="327"/>
      <c r="BA30" s="327"/>
      <c r="BB30" s="327"/>
      <c r="BC30" s="327"/>
      <c r="BD30" s="327"/>
      <c r="BE30" s="327"/>
      <c r="BF30" s="327"/>
      <c r="BG30" s="327"/>
      <c r="BH30" s="329"/>
      <c r="BI30" s="412"/>
      <c r="BJ30" s="412"/>
      <c r="BK30" s="412"/>
      <c r="BL30" s="412"/>
      <c r="BM30" s="412"/>
      <c r="BN30" s="412"/>
      <c r="BO30" s="412"/>
      <c r="BP30" s="412"/>
      <c r="BQ30" s="412"/>
      <c r="BR30" s="413"/>
      <c r="BS30" s="414"/>
      <c r="BT30" s="395">
        <f t="shared" si="4"/>
        <v>0</v>
      </c>
    </row>
    <row r="31" spans="1:72" s="415" customFormat="1">
      <c r="A31" s="450"/>
      <c r="B31" s="327"/>
      <c r="C31" s="329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9"/>
      <c r="T31" s="329"/>
      <c r="U31" s="330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9"/>
      <c r="AO31" s="329"/>
      <c r="AP31" s="328"/>
      <c r="AQ31" s="327"/>
      <c r="AR31" s="327"/>
      <c r="AS31" s="327"/>
      <c r="AT31" s="327"/>
      <c r="AU31" s="327"/>
      <c r="AV31" s="327"/>
      <c r="AW31" s="327"/>
      <c r="AX31" s="327"/>
      <c r="AY31" s="327"/>
      <c r="AZ31" s="327"/>
      <c r="BA31" s="327"/>
      <c r="BB31" s="327"/>
      <c r="BC31" s="327"/>
      <c r="BD31" s="327"/>
      <c r="BE31" s="327"/>
      <c r="BF31" s="327"/>
      <c r="BG31" s="327"/>
      <c r="BH31" s="329"/>
      <c r="BI31" s="412"/>
      <c r="BJ31" s="412"/>
      <c r="BK31" s="412"/>
      <c r="BL31" s="412"/>
      <c r="BM31" s="412"/>
      <c r="BN31" s="412"/>
      <c r="BO31" s="412"/>
      <c r="BP31" s="412"/>
      <c r="BQ31" s="412"/>
      <c r="BR31" s="413"/>
      <c r="BS31" s="414"/>
      <c r="BT31" s="395">
        <f t="shared" si="4"/>
        <v>0</v>
      </c>
    </row>
    <row r="32" spans="1:72" s="415" customFormat="1">
      <c r="A32" s="450"/>
      <c r="B32" s="327"/>
      <c r="C32" s="329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9"/>
      <c r="T32" s="329"/>
      <c r="U32" s="330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  <c r="AJ32" s="327"/>
      <c r="AK32" s="327"/>
      <c r="AL32" s="327"/>
      <c r="AM32" s="327"/>
      <c r="AN32" s="329"/>
      <c r="AO32" s="329"/>
      <c r="AP32" s="328"/>
      <c r="AQ32" s="327"/>
      <c r="AR32" s="327"/>
      <c r="AS32" s="327"/>
      <c r="AT32" s="327"/>
      <c r="AU32" s="327"/>
      <c r="AV32" s="327"/>
      <c r="AW32" s="327"/>
      <c r="AX32" s="327"/>
      <c r="AY32" s="327"/>
      <c r="AZ32" s="327"/>
      <c r="BA32" s="327"/>
      <c r="BB32" s="327"/>
      <c r="BC32" s="327"/>
      <c r="BD32" s="327"/>
      <c r="BE32" s="327"/>
      <c r="BF32" s="327"/>
      <c r="BG32" s="327"/>
      <c r="BH32" s="329"/>
      <c r="BI32" s="412"/>
      <c r="BJ32" s="412"/>
      <c r="BK32" s="412"/>
      <c r="BL32" s="412"/>
      <c r="BM32" s="412"/>
      <c r="BN32" s="412"/>
      <c r="BO32" s="412"/>
      <c r="BP32" s="412"/>
      <c r="BQ32" s="412"/>
      <c r="BR32" s="413"/>
      <c r="BS32" s="414"/>
      <c r="BT32" s="395">
        <f t="shared" si="4"/>
        <v>0</v>
      </c>
    </row>
    <row r="33" spans="1:72" s="415" customFormat="1">
      <c r="A33" s="333"/>
      <c r="B33" s="334"/>
      <c r="C33" s="336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6"/>
      <c r="T33" s="336"/>
      <c r="U33" s="361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  <c r="AL33" s="334"/>
      <c r="AM33" s="334"/>
      <c r="AN33" s="336"/>
      <c r="AO33" s="336"/>
      <c r="AP33" s="335"/>
      <c r="AQ33" s="334"/>
      <c r="AR33" s="334"/>
      <c r="AS33" s="334"/>
      <c r="AT33" s="334"/>
      <c r="AU33" s="334"/>
      <c r="AV33" s="334"/>
      <c r="AW33" s="334"/>
      <c r="AX33" s="334"/>
      <c r="AY33" s="334"/>
      <c r="AZ33" s="334"/>
      <c r="BA33" s="334"/>
      <c r="BB33" s="334"/>
      <c r="BC33" s="334"/>
      <c r="BD33" s="334"/>
      <c r="BE33" s="334"/>
      <c r="BF33" s="334"/>
      <c r="BG33" s="334"/>
      <c r="BH33" s="336"/>
      <c r="BI33" s="412"/>
      <c r="BJ33" s="412"/>
      <c r="BK33" s="412"/>
      <c r="BL33" s="412"/>
      <c r="BM33" s="412"/>
      <c r="BN33" s="412"/>
      <c r="BO33" s="412"/>
      <c r="BP33" s="412"/>
      <c r="BQ33" s="412"/>
      <c r="BR33" s="413"/>
      <c r="BS33" s="414"/>
      <c r="BT33" s="395">
        <f>SUM(B33:BR33)</f>
        <v>0</v>
      </c>
    </row>
    <row r="34" spans="1:72" s="522" customFormat="1">
      <c r="A34" s="515"/>
      <c r="B34" s="516"/>
      <c r="C34" s="517"/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6"/>
      <c r="O34" s="516"/>
      <c r="P34" s="516"/>
      <c r="Q34" s="516"/>
      <c r="R34" s="516"/>
      <c r="S34" s="517"/>
      <c r="T34" s="517"/>
      <c r="U34" s="366"/>
      <c r="V34" s="516"/>
      <c r="W34" s="516"/>
      <c r="X34" s="516"/>
      <c r="Y34" s="516"/>
      <c r="Z34" s="516"/>
      <c r="AA34" s="516"/>
      <c r="AB34" s="516"/>
      <c r="AC34" s="516"/>
      <c r="AD34" s="516"/>
      <c r="AE34" s="516"/>
      <c r="AF34" s="516"/>
      <c r="AG34" s="516"/>
      <c r="AH34" s="516"/>
      <c r="AI34" s="516"/>
      <c r="AJ34" s="516"/>
      <c r="AK34" s="516"/>
      <c r="AL34" s="516"/>
      <c r="AM34" s="516"/>
      <c r="AN34" s="517"/>
      <c r="AO34" s="517"/>
      <c r="AP34" s="518"/>
      <c r="AQ34" s="516"/>
      <c r="AR34" s="516"/>
      <c r="AS34" s="516"/>
      <c r="AT34" s="516"/>
      <c r="AU34" s="516"/>
      <c r="AV34" s="516"/>
      <c r="AW34" s="516"/>
      <c r="AX34" s="516"/>
      <c r="AY34" s="516"/>
      <c r="AZ34" s="516"/>
      <c r="BA34" s="516"/>
      <c r="BB34" s="516"/>
      <c r="BC34" s="516"/>
      <c r="BD34" s="516"/>
      <c r="BE34" s="516"/>
      <c r="BF34" s="516"/>
      <c r="BG34" s="516"/>
      <c r="BH34" s="516"/>
      <c r="BI34" s="519"/>
      <c r="BJ34" s="519"/>
      <c r="BK34" s="519"/>
      <c r="BL34" s="519"/>
      <c r="BM34" s="519"/>
      <c r="BN34" s="519"/>
      <c r="BO34" s="519"/>
      <c r="BP34" s="519"/>
      <c r="BQ34" s="519"/>
      <c r="BR34" s="520"/>
      <c r="BS34" s="521"/>
      <c r="BT34" s="395">
        <f t="shared" ref="BT34:BT40" si="5">SUM(B34:BR34)</f>
        <v>0</v>
      </c>
    </row>
    <row r="35" spans="1:72" s="415" customFormat="1">
      <c r="A35" s="450"/>
      <c r="B35" s="327"/>
      <c r="C35" s="329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9"/>
      <c r="T35" s="329"/>
      <c r="U35" s="330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9"/>
      <c r="AO35" s="329"/>
      <c r="AP35" s="328"/>
      <c r="AQ35" s="327"/>
      <c r="AR35" s="327"/>
      <c r="AS35" s="327"/>
      <c r="AT35" s="327"/>
      <c r="AU35" s="327"/>
      <c r="AV35" s="327"/>
      <c r="AW35" s="327"/>
      <c r="AX35" s="327"/>
      <c r="AY35" s="327"/>
      <c r="AZ35" s="327"/>
      <c r="BA35" s="327"/>
      <c r="BB35" s="327"/>
      <c r="BC35" s="327"/>
      <c r="BD35" s="327"/>
      <c r="BE35" s="327"/>
      <c r="BF35" s="327"/>
      <c r="BG35" s="327"/>
      <c r="BH35" s="329"/>
      <c r="BI35" s="412"/>
      <c r="BJ35" s="412"/>
      <c r="BK35" s="412"/>
      <c r="BL35" s="412"/>
      <c r="BM35" s="412"/>
      <c r="BN35" s="412"/>
      <c r="BO35" s="412"/>
      <c r="BP35" s="412"/>
      <c r="BQ35" s="412"/>
      <c r="BR35" s="413"/>
      <c r="BS35" s="414"/>
      <c r="BT35" s="395">
        <f t="shared" si="5"/>
        <v>0</v>
      </c>
    </row>
    <row r="36" spans="1:72" s="415" customFormat="1">
      <c r="A36" s="450"/>
      <c r="B36" s="327"/>
      <c r="C36" s="329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9"/>
      <c r="T36" s="329"/>
      <c r="U36" s="330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9"/>
      <c r="AO36" s="329"/>
      <c r="AP36" s="328"/>
      <c r="AQ36" s="327"/>
      <c r="AR36" s="327"/>
      <c r="AS36" s="327"/>
      <c r="AT36" s="327"/>
      <c r="AU36" s="327"/>
      <c r="AV36" s="327"/>
      <c r="AW36" s="327"/>
      <c r="AX36" s="327"/>
      <c r="AY36" s="327"/>
      <c r="AZ36" s="327"/>
      <c r="BA36" s="327"/>
      <c r="BB36" s="327"/>
      <c r="BC36" s="327"/>
      <c r="BD36" s="327"/>
      <c r="BE36" s="327"/>
      <c r="BF36" s="327"/>
      <c r="BG36" s="327"/>
      <c r="BH36" s="329"/>
      <c r="BI36" s="412"/>
      <c r="BJ36" s="412"/>
      <c r="BK36" s="412"/>
      <c r="BL36" s="412"/>
      <c r="BM36" s="412"/>
      <c r="BN36" s="412"/>
      <c r="BO36" s="412"/>
      <c r="BP36" s="412"/>
      <c r="BQ36" s="412"/>
      <c r="BR36" s="413"/>
      <c r="BS36" s="414"/>
      <c r="BT36" s="395">
        <f t="shared" si="5"/>
        <v>0</v>
      </c>
    </row>
    <row r="37" spans="1:72" s="415" customFormat="1">
      <c r="A37" s="450"/>
      <c r="B37" s="327"/>
      <c r="C37" s="329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9"/>
      <c r="T37" s="329"/>
      <c r="U37" s="330"/>
      <c r="V37" s="327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27"/>
      <c r="AN37" s="329"/>
      <c r="AO37" s="329"/>
      <c r="AP37" s="328"/>
      <c r="AQ37" s="327"/>
      <c r="AR37" s="327"/>
      <c r="AS37" s="327"/>
      <c r="AT37" s="327"/>
      <c r="AU37" s="327"/>
      <c r="AV37" s="327"/>
      <c r="AW37" s="327"/>
      <c r="AX37" s="327"/>
      <c r="AY37" s="327"/>
      <c r="AZ37" s="327"/>
      <c r="BA37" s="327"/>
      <c r="BB37" s="327"/>
      <c r="BC37" s="327"/>
      <c r="BD37" s="327"/>
      <c r="BE37" s="327"/>
      <c r="BF37" s="327"/>
      <c r="BG37" s="327"/>
      <c r="BH37" s="329"/>
      <c r="BI37" s="412"/>
      <c r="BJ37" s="412"/>
      <c r="BK37" s="412"/>
      <c r="BL37" s="412"/>
      <c r="BM37" s="412"/>
      <c r="BN37" s="412"/>
      <c r="BO37" s="412"/>
      <c r="BP37" s="412"/>
      <c r="BQ37" s="412"/>
      <c r="BR37" s="413"/>
      <c r="BS37" s="414"/>
      <c r="BT37" s="395">
        <f t="shared" si="5"/>
        <v>0</v>
      </c>
    </row>
    <row r="38" spans="1:72" s="415" customFormat="1">
      <c r="A38" s="450"/>
      <c r="B38" s="327"/>
      <c r="C38" s="329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9"/>
      <c r="T38" s="329"/>
      <c r="U38" s="330"/>
      <c r="V38" s="327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327"/>
      <c r="AM38" s="327"/>
      <c r="AN38" s="329"/>
      <c r="AO38" s="329"/>
      <c r="AP38" s="328"/>
      <c r="AQ38" s="327"/>
      <c r="AR38" s="327"/>
      <c r="AS38" s="327"/>
      <c r="AT38" s="327"/>
      <c r="AU38" s="327"/>
      <c r="AV38" s="327"/>
      <c r="AW38" s="327"/>
      <c r="AX38" s="327"/>
      <c r="AY38" s="327"/>
      <c r="AZ38" s="327"/>
      <c r="BA38" s="327"/>
      <c r="BB38" s="327"/>
      <c r="BC38" s="327"/>
      <c r="BD38" s="327"/>
      <c r="BE38" s="327"/>
      <c r="BF38" s="327"/>
      <c r="BG38" s="327"/>
      <c r="BH38" s="329"/>
      <c r="BI38" s="412"/>
      <c r="BJ38" s="412"/>
      <c r="BK38" s="412"/>
      <c r="BL38" s="412"/>
      <c r="BM38" s="412"/>
      <c r="BN38" s="412"/>
      <c r="BO38" s="412"/>
      <c r="BP38" s="412"/>
      <c r="BQ38" s="412"/>
      <c r="BR38" s="413"/>
      <c r="BS38" s="414"/>
      <c r="BT38" s="395">
        <f t="shared" si="5"/>
        <v>0</v>
      </c>
    </row>
    <row r="39" spans="1:72" s="415" customFormat="1">
      <c r="A39" s="450"/>
      <c r="B39" s="327"/>
      <c r="C39" s="329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9"/>
      <c r="T39" s="329"/>
      <c r="U39" s="330"/>
      <c r="V39" s="327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  <c r="AJ39" s="327"/>
      <c r="AK39" s="327"/>
      <c r="AL39" s="327"/>
      <c r="AM39" s="327"/>
      <c r="AN39" s="329"/>
      <c r="AO39" s="329"/>
      <c r="AP39" s="328"/>
      <c r="AQ39" s="327"/>
      <c r="AR39" s="327"/>
      <c r="AS39" s="327"/>
      <c r="AT39" s="327"/>
      <c r="AU39" s="327"/>
      <c r="AV39" s="327"/>
      <c r="AW39" s="327"/>
      <c r="AX39" s="327"/>
      <c r="AY39" s="327"/>
      <c r="AZ39" s="327"/>
      <c r="BA39" s="327"/>
      <c r="BB39" s="327"/>
      <c r="BC39" s="327"/>
      <c r="BD39" s="327"/>
      <c r="BE39" s="327"/>
      <c r="BF39" s="327"/>
      <c r="BG39" s="327"/>
      <c r="BH39" s="329"/>
      <c r="BI39" s="412"/>
      <c r="BJ39" s="412"/>
      <c r="BK39" s="412"/>
      <c r="BL39" s="412"/>
      <c r="BM39" s="412"/>
      <c r="BN39" s="412"/>
      <c r="BO39" s="412"/>
      <c r="BP39" s="412"/>
      <c r="BQ39" s="412"/>
      <c r="BR39" s="413"/>
      <c r="BS39" s="414"/>
      <c r="BT39" s="395">
        <f t="shared" si="5"/>
        <v>0</v>
      </c>
    </row>
    <row r="40" spans="1:72" s="415" customFormat="1" ht="7.5" thickBot="1">
      <c r="A40" s="331"/>
      <c r="B40" s="327"/>
      <c r="C40" s="329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9"/>
      <c r="T40" s="329"/>
      <c r="U40" s="330"/>
      <c r="V40" s="327"/>
      <c r="W40" s="327"/>
      <c r="X40" s="327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  <c r="AJ40" s="327"/>
      <c r="AK40" s="327"/>
      <c r="AL40" s="327"/>
      <c r="AM40" s="327"/>
      <c r="AN40" s="329"/>
      <c r="AO40" s="329"/>
      <c r="AP40" s="328"/>
      <c r="AQ40" s="327"/>
      <c r="AR40" s="327"/>
      <c r="AS40" s="327"/>
      <c r="AT40" s="327"/>
      <c r="AU40" s="327"/>
      <c r="AV40" s="327"/>
      <c r="AW40" s="327"/>
      <c r="AX40" s="327"/>
      <c r="AY40" s="327"/>
      <c r="AZ40" s="327"/>
      <c r="BA40" s="327"/>
      <c r="BB40" s="327"/>
      <c r="BC40" s="327"/>
      <c r="BD40" s="327"/>
      <c r="BE40" s="327"/>
      <c r="BF40" s="327"/>
      <c r="BG40" s="327"/>
      <c r="BH40" s="329"/>
      <c r="BI40" s="412"/>
      <c r="BJ40" s="412"/>
      <c r="BK40" s="412"/>
      <c r="BL40" s="412"/>
      <c r="BM40" s="412"/>
      <c r="BN40" s="412"/>
      <c r="BO40" s="412"/>
      <c r="BP40" s="412"/>
      <c r="BQ40" s="412"/>
      <c r="BR40" s="413"/>
      <c r="BS40" s="414"/>
      <c r="BT40" s="395">
        <f t="shared" si="5"/>
        <v>0</v>
      </c>
    </row>
    <row r="41" spans="1:72" ht="11.5" thickTop="1" thickBot="1">
      <c r="A41" s="113" t="s">
        <v>79</v>
      </c>
      <c r="B41" s="58">
        <f t="shared" ref="B41:J41" si="6">SUM(B6:B38)</f>
        <v>0</v>
      </c>
      <c r="C41" s="82">
        <f t="shared" si="6"/>
        <v>0</v>
      </c>
      <c r="D41" s="58">
        <f t="shared" si="6"/>
        <v>0</v>
      </c>
      <c r="E41" s="58">
        <f t="shared" si="6"/>
        <v>0</v>
      </c>
      <c r="F41" s="58">
        <f t="shared" si="6"/>
        <v>0</v>
      </c>
      <c r="G41" s="58">
        <f t="shared" si="6"/>
        <v>19.98</v>
      </c>
      <c r="H41" s="58">
        <f t="shared" si="6"/>
        <v>0</v>
      </c>
      <c r="I41" s="58">
        <f t="shared" si="6"/>
        <v>0</v>
      </c>
      <c r="J41" s="58">
        <f t="shared" si="6"/>
        <v>0</v>
      </c>
      <c r="K41" s="58">
        <f t="shared" ref="K41:W41" si="7">SUM(K6:K38)</f>
        <v>290.99</v>
      </c>
      <c r="L41" s="58">
        <f t="shared" si="7"/>
        <v>99.990000000000009</v>
      </c>
      <c r="M41" s="58">
        <f>SUM(M6:M38)</f>
        <v>436.28</v>
      </c>
      <c r="N41" s="58">
        <f>SUM(N6:N38)</f>
        <v>0</v>
      </c>
      <c r="O41" s="58">
        <f>SUM(O6:O38)</f>
        <v>0</v>
      </c>
      <c r="P41" s="58">
        <f t="shared" si="7"/>
        <v>0</v>
      </c>
      <c r="Q41" s="58">
        <f t="shared" si="7"/>
        <v>0</v>
      </c>
      <c r="R41" s="58">
        <f t="shared" si="7"/>
        <v>0</v>
      </c>
      <c r="S41" s="82">
        <f t="shared" si="7"/>
        <v>0</v>
      </c>
      <c r="T41" s="82">
        <f t="shared" si="7"/>
        <v>0</v>
      </c>
      <c r="U41" s="225">
        <f t="shared" si="7"/>
        <v>0</v>
      </c>
      <c r="V41" s="58">
        <f t="shared" si="7"/>
        <v>293.2</v>
      </c>
      <c r="W41" s="58">
        <f t="shared" si="7"/>
        <v>0</v>
      </c>
      <c r="X41" s="58">
        <f t="shared" ref="X41:BR41" si="8">SUM(X6:X38)</f>
        <v>0</v>
      </c>
      <c r="Y41" s="58">
        <f t="shared" si="8"/>
        <v>58.32</v>
      </c>
      <c r="Z41" s="58">
        <f t="shared" si="8"/>
        <v>0</v>
      </c>
      <c r="AA41" s="58">
        <f t="shared" si="8"/>
        <v>0</v>
      </c>
      <c r="AB41" s="58">
        <f t="shared" si="8"/>
        <v>0</v>
      </c>
      <c r="AC41" s="58">
        <f t="shared" si="8"/>
        <v>0</v>
      </c>
      <c r="AD41" s="58">
        <f t="shared" si="8"/>
        <v>0</v>
      </c>
      <c r="AE41" s="58">
        <f t="shared" si="8"/>
        <v>68.990000000000009</v>
      </c>
      <c r="AF41" s="58">
        <f>SUM(AF6:AF40)</f>
        <v>0</v>
      </c>
      <c r="AG41" s="58">
        <f t="shared" si="8"/>
        <v>0</v>
      </c>
      <c r="AH41" s="58">
        <f t="shared" si="8"/>
        <v>0</v>
      </c>
      <c r="AI41" s="58">
        <f t="shared" si="8"/>
        <v>0</v>
      </c>
      <c r="AJ41" s="58">
        <f t="shared" si="8"/>
        <v>0</v>
      </c>
      <c r="AK41" s="58">
        <f t="shared" si="8"/>
        <v>0</v>
      </c>
      <c r="AL41" s="58">
        <f t="shared" si="8"/>
        <v>0</v>
      </c>
      <c r="AM41" s="58">
        <f t="shared" si="8"/>
        <v>0</v>
      </c>
      <c r="AN41" s="82">
        <f t="shared" si="8"/>
        <v>0</v>
      </c>
      <c r="AO41" s="82">
        <f>SUM(AO6:AO40)</f>
        <v>0</v>
      </c>
      <c r="AP41" s="112">
        <f t="shared" si="8"/>
        <v>0</v>
      </c>
      <c r="AQ41" s="58">
        <f t="shared" si="8"/>
        <v>0</v>
      </c>
      <c r="AR41" s="58">
        <f t="shared" si="8"/>
        <v>0</v>
      </c>
      <c r="AS41" s="58">
        <f t="shared" si="8"/>
        <v>0</v>
      </c>
      <c r="AT41" s="58">
        <f t="shared" si="8"/>
        <v>0</v>
      </c>
      <c r="AU41" s="58">
        <f t="shared" si="8"/>
        <v>0</v>
      </c>
      <c r="AV41" s="58">
        <f t="shared" si="8"/>
        <v>0</v>
      </c>
      <c r="AW41" s="58">
        <f t="shared" si="8"/>
        <v>0</v>
      </c>
      <c r="AX41" s="58">
        <f t="shared" si="8"/>
        <v>0</v>
      </c>
      <c r="AY41" s="58">
        <f t="shared" si="8"/>
        <v>0</v>
      </c>
      <c r="AZ41" s="58">
        <f t="shared" si="8"/>
        <v>0</v>
      </c>
      <c r="BA41" s="58">
        <f t="shared" si="8"/>
        <v>0</v>
      </c>
      <c r="BB41" s="58">
        <f t="shared" si="8"/>
        <v>0</v>
      </c>
      <c r="BC41" s="58">
        <f t="shared" si="8"/>
        <v>0</v>
      </c>
      <c r="BD41" s="58">
        <f>SUM(BD6:BD38)</f>
        <v>0</v>
      </c>
      <c r="BE41" s="58">
        <f>SUM(BE6:BE38)</f>
        <v>0</v>
      </c>
      <c r="BF41" s="58">
        <f t="shared" si="8"/>
        <v>0</v>
      </c>
      <c r="BG41" s="58">
        <f t="shared" si="8"/>
        <v>0</v>
      </c>
      <c r="BH41" s="58">
        <f t="shared" si="8"/>
        <v>0</v>
      </c>
      <c r="BI41" s="58">
        <f t="shared" si="8"/>
        <v>0</v>
      </c>
      <c r="BJ41" s="58">
        <f t="shared" si="8"/>
        <v>0</v>
      </c>
      <c r="BK41" s="58">
        <f t="shared" si="8"/>
        <v>0</v>
      </c>
      <c r="BL41" s="58">
        <f t="shared" si="8"/>
        <v>0</v>
      </c>
      <c r="BM41" s="58">
        <f t="shared" si="8"/>
        <v>0</v>
      </c>
      <c r="BN41" s="58">
        <f t="shared" si="8"/>
        <v>0</v>
      </c>
      <c r="BO41" s="58">
        <f t="shared" si="8"/>
        <v>0</v>
      </c>
      <c r="BP41" s="58">
        <f t="shared" si="8"/>
        <v>0</v>
      </c>
      <c r="BQ41" s="58">
        <f>SUM(BQ6:BQ38)</f>
        <v>0</v>
      </c>
      <c r="BR41" s="118">
        <f t="shared" si="8"/>
        <v>0</v>
      </c>
      <c r="BS41" s="45"/>
      <c r="BT41" s="252">
        <f>SUM(B41:BR41)</f>
        <v>1267.75</v>
      </c>
    </row>
    <row r="42" spans="1:72" ht="11.5" thickTop="1" thickBot="1">
      <c r="A42" s="11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</row>
    <row r="43" spans="1:72" s="59" customFormat="1" ht="11" thickTop="1">
      <c r="A43" s="208" t="s">
        <v>114</v>
      </c>
      <c r="B43" s="18" t="str">
        <f>B$4</f>
        <v>Insurance</v>
      </c>
      <c r="C43" s="13" t="str">
        <f t="shared" ref="C43:BQ43" si="9">C$4</f>
        <v>Licence</v>
      </c>
      <c r="D43" s="18" t="str">
        <f t="shared" si="9"/>
        <v>Mooring</v>
      </c>
      <c r="E43" s="18" t="str">
        <f t="shared" si="9"/>
        <v>Kings Lock</v>
      </c>
      <c r="F43" s="18" t="str">
        <f t="shared" si="9"/>
        <v>J &amp; T Martin</v>
      </c>
      <c r="G43" s="18" t="str">
        <f t="shared" si="9"/>
        <v>Kee</v>
      </c>
      <c r="H43" s="18" t="str">
        <f t="shared" si="9"/>
        <v>Fisher</v>
      </c>
      <c r="I43" s="18" t="str">
        <f t="shared" si="9"/>
        <v>Atlass</v>
      </c>
      <c r="J43" s="18" t="str">
        <f t="shared" si="9"/>
        <v>Patricia</v>
      </c>
      <c r="K43" s="18" t="str">
        <f t="shared" si="9"/>
        <v>2023 licence</v>
      </c>
      <c r="L43" s="18" t="str">
        <f t="shared" si="9"/>
        <v>Kee</v>
      </c>
      <c r="M43" s="18" t="str">
        <f t="shared" si="9"/>
        <v>Kee</v>
      </c>
      <c r="N43" s="18" t="str">
        <f t="shared" si="9"/>
        <v>Kee</v>
      </c>
      <c r="O43" s="18">
        <f t="shared" si="9"/>
        <v>0</v>
      </c>
      <c r="P43" s="18">
        <f t="shared" si="9"/>
        <v>0</v>
      </c>
      <c r="Q43" s="18">
        <f t="shared" si="9"/>
        <v>0</v>
      </c>
      <c r="R43" s="18">
        <f t="shared" si="9"/>
        <v>0</v>
      </c>
      <c r="S43" s="18">
        <f t="shared" si="9"/>
        <v>0</v>
      </c>
      <c r="T43" s="18" t="str">
        <f t="shared" si="9"/>
        <v>unscheduled</v>
      </c>
      <c r="U43" s="18" t="str">
        <f t="shared" si="9"/>
        <v>James</v>
      </c>
      <c r="V43" s="18" t="str">
        <f t="shared" si="9"/>
        <v>Kee</v>
      </c>
      <c r="W43" s="18" t="str">
        <f t="shared" si="9"/>
        <v>unscheduled</v>
      </c>
      <c r="X43" s="18" t="str">
        <f t="shared" si="9"/>
        <v>Phil</v>
      </c>
      <c r="Y43" s="18" t="str">
        <f t="shared" si="9"/>
        <v>Atlass</v>
      </c>
      <c r="Z43" s="18" t="str">
        <f t="shared" si="9"/>
        <v>James</v>
      </c>
      <c r="AA43" s="18" t="str">
        <f t="shared" si="9"/>
        <v>unscheduled</v>
      </c>
      <c r="AB43" s="18" t="str">
        <f t="shared" si="9"/>
        <v>unscheduled</v>
      </c>
      <c r="AC43" s="18" t="str">
        <f t="shared" si="9"/>
        <v>unscheduled</v>
      </c>
      <c r="AD43" s="18" t="str">
        <f t="shared" si="9"/>
        <v>unscheduled</v>
      </c>
      <c r="AE43" s="18" t="str">
        <f t="shared" si="9"/>
        <v>Phil</v>
      </c>
      <c r="AF43" s="18" t="str">
        <f t="shared" si="9"/>
        <v>Atlass</v>
      </c>
      <c r="AG43" s="18" t="str">
        <f t="shared" si="9"/>
        <v>unscheduled</v>
      </c>
      <c r="AH43" s="18" t="str">
        <f t="shared" si="9"/>
        <v>unscheduled</v>
      </c>
      <c r="AI43" s="18" t="str">
        <f t="shared" si="9"/>
        <v>Martin</v>
      </c>
      <c r="AJ43" s="18" t="str">
        <f t="shared" si="9"/>
        <v>unscheduled</v>
      </c>
      <c r="AK43" s="18" t="str">
        <f t="shared" si="9"/>
        <v>Kee</v>
      </c>
      <c r="AL43" s="18" t="str">
        <f t="shared" si="9"/>
        <v>unscheduled</v>
      </c>
      <c r="AM43" s="18" t="str">
        <f t="shared" si="9"/>
        <v>James</v>
      </c>
      <c r="AN43" s="13" t="str">
        <f t="shared" si="9"/>
        <v>unscheduled</v>
      </c>
      <c r="AO43" s="13" t="str">
        <f t="shared" si="9"/>
        <v>unscheduled</v>
      </c>
      <c r="AP43" s="20" t="str">
        <f t="shared" si="9"/>
        <v>Atlass</v>
      </c>
      <c r="AQ43" s="18" t="str">
        <f t="shared" si="9"/>
        <v>unscheduled</v>
      </c>
      <c r="AR43" s="18" t="str">
        <f t="shared" si="9"/>
        <v>unscheduled</v>
      </c>
      <c r="AS43" s="18" t="str">
        <f t="shared" si="9"/>
        <v>unscheduled</v>
      </c>
      <c r="AT43" s="18" t="str">
        <f t="shared" si="9"/>
        <v>Brough</v>
      </c>
      <c r="AU43" s="18" t="str">
        <f t="shared" si="9"/>
        <v>unscheduled</v>
      </c>
      <c r="AV43" s="18" t="str">
        <f t="shared" si="9"/>
        <v>unscheduled</v>
      </c>
      <c r="AW43" s="18" t="str">
        <f t="shared" si="9"/>
        <v>unscheduled</v>
      </c>
      <c r="AX43" s="18" t="str">
        <f t="shared" si="9"/>
        <v>unscheduled</v>
      </c>
      <c r="AY43" s="18" t="str">
        <f t="shared" si="9"/>
        <v>unscheduled</v>
      </c>
      <c r="AZ43" s="18" t="str">
        <f t="shared" si="9"/>
        <v>unscheduled</v>
      </c>
      <c r="BA43" s="18" t="str">
        <f t="shared" si="9"/>
        <v>Kee</v>
      </c>
      <c r="BB43" s="18" t="str">
        <f t="shared" si="9"/>
        <v>unscheduled</v>
      </c>
      <c r="BC43" s="18" t="str">
        <f t="shared" si="9"/>
        <v>unscheduled</v>
      </c>
      <c r="BD43" s="18" t="str">
        <f t="shared" si="9"/>
        <v>unscheduled</v>
      </c>
      <c r="BE43" s="18" t="str">
        <f t="shared" si="9"/>
        <v>unscheduled</v>
      </c>
      <c r="BF43" s="18" t="str">
        <f t="shared" si="9"/>
        <v>unscheduled</v>
      </c>
      <c r="BG43" s="18" t="str">
        <f t="shared" si="9"/>
        <v>unscheduled</v>
      </c>
      <c r="BH43" s="18">
        <f t="shared" si="9"/>
        <v>0</v>
      </c>
      <c r="BI43" s="18">
        <f t="shared" si="9"/>
        <v>0</v>
      </c>
      <c r="BJ43" s="18">
        <f t="shared" si="9"/>
        <v>0</v>
      </c>
      <c r="BK43" s="18">
        <f t="shared" si="9"/>
        <v>0</v>
      </c>
      <c r="BL43" s="18">
        <f t="shared" si="9"/>
        <v>0</v>
      </c>
      <c r="BM43" s="18">
        <f t="shared" si="9"/>
        <v>0</v>
      </c>
      <c r="BN43" s="18">
        <f t="shared" si="9"/>
        <v>0</v>
      </c>
      <c r="BO43" s="18">
        <f t="shared" si="9"/>
        <v>0</v>
      </c>
      <c r="BP43" s="18">
        <f t="shared" si="9"/>
        <v>0</v>
      </c>
      <c r="BQ43" s="18">
        <f t="shared" si="9"/>
        <v>0</v>
      </c>
      <c r="BR43" s="60">
        <f>MAINTENANCE!BP17</f>
        <v>0</v>
      </c>
      <c r="BS43" s="15"/>
      <c r="BT43" s="14"/>
    </row>
    <row r="44" spans="1:72" ht="7.5" thickBot="1">
      <c r="A44" s="227"/>
      <c r="B44" s="153">
        <f>B$5</f>
        <v>44591</v>
      </c>
      <c r="C44" s="154">
        <f t="shared" ref="C44:BQ44" si="10">C$5</f>
        <v>0</v>
      </c>
      <c r="D44" s="153">
        <f t="shared" si="10"/>
        <v>44854</v>
      </c>
      <c r="E44" s="153">
        <f t="shared" si="10"/>
        <v>44673</v>
      </c>
      <c r="F44" s="153">
        <f t="shared" si="10"/>
        <v>44677</v>
      </c>
      <c r="G44" s="153">
        <f t="shared" si="10"/>
        <v>2</v>
      </c>
      <c r="H44" s="153">
        <f t="shared" si="10"/>
        <v>44786</v>
      </c>
      <c r="I44" s="153">
        <f t="shared" si="10"/>
        <v>44784</v>
      </c>
      <c r="J44" s="153">
        <f t="shared" si="10"/>
        <v>44967</v>
      </c>
      <c r="K44" s="153">
        <f t="shared" si="10"/>
        <v>0</v>
      </c>
      <c r="L44" s="153">
        <f t="shared" si="10"/>
        <v>44896</v>
      </c>
      <c r="M44" s="153">
        <f t="shared" si="10"/>
        <v>45283</v>
      </c>
      <c r="N44" s="153">
        <f t="shared" si="10"/>
        <v>45234</v>
      </c>
      <c r="O44" s="153">
        <f t="shared" si="10"/>
        <v>0</v>
      </c>
      <c r="P44" s="153">
        <f t="shared" si="10"/>
        <v>0</v>
      </c>
      <c r="Q44" s="153">
        <f t="shared" si="10"/>
        <v>0</v>
      </c>
      <c r="R44" s="153">
        <f t="shared" si="10"/>
        <v>0</v>
      </c>
      <c r="S44" s="153">
        <f t="shared" si="10"/>
        <v>0</v>
      </c>
      <c r="T44" s="153">
        <f t="shared" si="10"/>
        <v>44686</v>
      </c>
      <c r="U44" s="153">
        <f t="shared" si="10"/>
        <v>44693</v>
      </c>
      <c r="V44" s="153">
        <f t="shared" si="10"/>
        <v>44700</v>
      </c>
      <c r="W44" s="153">
        <f t="shared" si="10"/>
        <v>44707</v>
      </c>
      <c r="X44" s="153">
        <f t="shared" si="10"/>
        <v>44714</v>
      </c>
      <c r="Y44" s="153">
        <f t="shared" si="10"/>
        <v>44721</v>
      </c>
      <c r="Z44" s="153">
        <f t="shared" si="10"/>
        <v>44728</v>
      </c>
      <c r="AA44" s="153">
        <f t="shared" si="10"/>
        <v>44735</v>
      </c>
      <c r="AB44" s="153">
        <f t="shared" si="10"/>
        <v>44742</v>
      </c>
      <c r="AC44" s="153">
        <f t="shared" si="10"/>
        <v>44749</v>
      </c>
      <c r="AD44" s="153">
        <f t="shared" si="10"/>
        <v>44756</v>
      </c>
      <c r="AE44" s="153">
        <f t="shared" si="10"/>
        <v>44763</v>
      </c>
      <c r="AF44" s="153">
        <f t="shared" si="10"/>
        <v>44770</v>
      </c>
      <c r="AG44" s="153">
        <f t="shared" si="10"/>
        <v>44777</v>
      </c>
      <c r="AH44" s="153">
        <f t="shared" si="10"/>
        <v>44784</v>
      </c>
      <c r="AI44" s="153">
        <f t="shared" si="10"/>
        <v>44791</v>
      </c>
      <c r="AJ44" s="153">
        <f t="shared" si="10"/>
        <v>44798</v>
      </c>
      <c r="AK44" s="153">
        <f t="shared" si="10"/>
        <v>44805</v>
      </c>
      <c r="AL44" s="153">
        <f t="shared" si="10"/>
        <v>44812</v>
      </c>
      <c r="AM44" s="153">
        <f t="shared" si="10"/>
        <v>44819</v>
      </c>
      <c r="AN44" s="154">
        <f t="shared" si="10"/>
        <v>44826</v>
      </c>
      <c r="AO44" s="154">
        <f t="shared" si="10"/>
        <v>44833</v>
      </c>
      <c r="AP44" s="152">
        <f t="shared" si="10"/>
        <v>44840</v>
      </c>
      <c r="AQ44" s="153">
        <f t="shared" si="10"/>
        <v>44847</v>
      </c>
      <c r="AR44" s="153">
        <f t="shared" si="10"/>
        <v>44854</v>
      </c>
      <c r="AS44" s="153">
        <f t="shared" si="10"/>
        <v>44861</v>
      </c>
      <c r="AT44" s="153">
        <f t="shared" si="10"/>
        <v>44868</v>
      </c>
      <c r="AU44" s="153">
        <f t="shared" si="10"/>
        <v>44875</v>
      </c>
      <c r="AV44" s="153">
        <f t="shared" si="10"/>
        <v>44882</v>
      </c>
      <c r="AW44" s="153">
        <f t="shared" si="10"/>
        <v>44889</v>
      </c>
      <c r="AX44" s="153">
        <f t="shared" si="10"/>
        <v>44896</v>
      </c>
      <c r="AY44" s="153">
        <f t="shared" si="10"/>
        <v>44903</v>
      </c>
      <c r="AZ44" s="153">
        <f t="shared" si="10"/>
        <v>44910</v>
      </c>
      <c r="BA44" s="153">
        <f t="shared" si="10"/>
        <v>44917</v>
      </c>
      <c r="BB44" s="153">
        <f t="shared" si="10"/>
        <v>44924</v>
      </c>
      <c r="BC44" s="153">
        <f t="shared" si="10"/>
        <v>44553</v>
      </c>
      <c r="BD44" s="153">
        <f t="shared" si="10"/>
        <v>44560</v>
      </c>
      <c r="BE44" s="153">
        <f t="shared" si="10"/>
        <v>44567</v>
      </c>
      <c r="BF44" s="153">
        <f t="shared" si="10"/>
        <v>44574</v>
      </c>
      <c r="BG44" s="153">
        <f t="shared" si="10"/>
        <v>44581</v>
      </c>
      <c r="BH44" s="153">
        <f t="shared" si="10"/>
        <v>0</v>
      </c>
      <c r="BI44" s="153">
        <f t="shared" si="10"/>
        <v>0</v>
      </c>
      <c r="BJ44" s="153">
        <f t="shared" si="10"/>
        <v>0</v>
      </c>
      <c r="BK44" s="153">
        <f t="shared" si="10"/>
        <v>0</v>
      </c>
      <c r="BL44" s="153">
        <f t="shared" si="10"/>
        <v>0</v>
      </c>
      <c r="BM44" s="153">
        <f t="shared" si="10"/>
        <v>0</v>
      </c>
      <c r="BN44" s="153" t="e">
        <f t="shared" si="10"/>
        <v>#REF!</v>
      </c>
      <c r="BO44" s="153">
        <f t="shared" si="10"/>
        <v>0</v>
      </c>
      <c r="BP44" s="153">
        <f t="shared" si="10"/>
        <v>0</v>
      </c>
      <c r="BQ44" s="153">
        <f t="shared" si="10"/>
        <v>0</v>
      </c>
      <c r="BR44" s="155">
        <f>MAINTENANCE!BP18</f>
        <v>0</v>
      </c>
      <c r="BS44" s="15"/>
      <c r="BT44" s="14"/>
    </row>
    <row r="45" spans="1:72" ht="7.5" thickTop="1">
      <c r="A45" s="650" t="s">
        <v>168</v>
      </c>
      <c r="B45" s="323"/>
      <c r="C45" s="325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5"/>
      <c r="T45" s="325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323"/>
      <c r="AL45" s="323"/>
      <c r="AM45" s="323"/>
      <c r="AN45" s="325"/>
      <c r="AO45" s="325"/>
      <c r="AP45" s="324"/>
      <c r="AQ45" s="323"/>
      <c r="AR45" s="323"/>
      <c r="AS45" s="323"/>
      <c r="AT45" s="323"/>
      <c r="AU45" s="323"/>
      <c r="AV45" s="323"/>
      <c r="AW45" s="323"/>
      <c r="AX45" s="323"/>
      <c r="AY45" s="323"/>
      <c r="AZ45" s="323"/>
      <c r="BA45" s="325"/>
      <c r="BB45" s="323"/>
      <c r="BC45" s="323"/>
      <c r="BD45" s="323"/>
      <c r="BE45" s="323"/>
      <c r="BF45" s="323"/>
      <c r="BG45" s="323"/>
      <c r="BH45" s="325"/>
      <c r="BI45" s="52"/>
      <c r="BJ45" s="52"/>
      <c r="BK45" s="52"/>
      <c r="BL45" s="52"/>
      <c r="BM45" s="52"/>
      <c r="BN45" s="52"/>
      <c r="BO45" s="52"/>
      <c r="BP45" s="52"/>
      <c r="BQ45" s="52"/>
      <c r="BR45" s="57"/>
      <c r="BS45" s="45"/>
      <c r="BT45" s="44">
        <f>SUM(C45:BR45)</f>
        <v>0</v>
      </c>
    </row>
    <row r="46" spans="1:72">
      <c r="A46" s="450"/>
      <c r="B46" s="327"/>
      <c r="C46" s="329"/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32"/>
      <c r="Q46" s="327"/>
      <c r="R46" s="327"/>
      <c r="S46" s="329"/>
      <c r="T46" s="329"/>
      <c r="U46" s="327"/>
      <c r="V46" s="327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  <c r="AJ46" s="327"/>
      <c r="AK46" s="327"/>
      <c r="AL46" s="327"/>
      <c r="AM46" s="327"/>
      <c r="AN46" s="329"/>
      <c r="AO46" s="329"/>
      <c r="AP46" s="328"/>
      <c r="AQ46" s="327"/>
      <c r="AR46" s="327"/>
      <c r="AS46" s="327"/>
      <c r="AT46" s="327"/>
      <c r="AU46" s="327"/>
      <c r="AV46" s="327"/>
      <c r="AW46" s="327"/>
      <c r="AX46" s="327"/>
      <c r="AY46" s="327"/>
      <c r="AZ46" s="327"/>
      <c r="BA46" s="329"/>
      <c r="BB46" s="327"/>
      <c r="BC46" s="327"/>
      <c r="BD46" s="327"/>
      <c r="BE46" s="327"/>
      <c r="BF46" s="327"/>
      <c r="BG46" s="327"/>
      <c r="BH46" s="329"/>
      <c r="BI46" s="52"/>
      <c r="BJ46" s="52"/>
      <c r="BK46" s="52"/>
      <c r="BL46" s="52"/>
      <c r="BM46" s="52"/>
      <c r="BN46" s="52"/>
      <c r="BO46" s="52"/>
      <c r="BP46" s="52"/>
      <c r="BQ46" s="52"/>
      <c r="BR46" s="57"/>
      <c r="BS46" s="45"/>
      <c r="BT46" s="44">
        <f>SUM(C46:BR46)</f>
        <v>0</v>
      </c>
    </row>
    <row r="47" spans="1:72" ht="7.5" thickBot="1">
      <c r="A47" s="333"/>
      <c r="B47" s="334"/>
      <c r="C47" s="336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6"/>
      <c r="T47" s="336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  <c r="AK47" s="334"/>
      <c r="AL47" s="334"/>
      <c r="AM47" s="334"/>
      <c r="AN47" s="336"/>
      <c r="AO47" s="336"/>
      <c r="AP47" s="335"/>
      <c r="AQ47" s="334"/>
      <c r="AR47" s="334"/>
      <c r="AS47" s="334"/>
      <c r="AT47" s="334"/>
      <c r="AU47" s="334"/>
      <c r="AV47" s="334"/>
      <c r="AW47" s="334"/>
      <c r="AX47" s="334"/>
      <c r="AY47" s="334"/>
      <c r="AZ47" s="334"/>
      <c r="BA47" s="336"/>
      <c r="BB47" s="334"/>
      <c r="BC47" s="334"/>
      <c r="BD47" s="334"/>
      <c r="BE47" s="334"/>
      <c r="BF47" s="334"/>
      <c r="BG47" s="334"/>
      <c r="BH47" s="336"/>
      <c r="BI47" s="52"/>
      <c r="BJ47" s="52"/>
      <c r="BK47" s="52"/>
      <c r="BL47" s="52"/>
      <c r="BM47" s="52"/>
      <c r="BN47" s="52"/>
      <c r="BO47" s="52"/>
      <c r="BP47" s="52"/>
      <c r="BQ47" s="52"/>
      <c r="BR47" s="57"/>
      <c r="BS47" s="45"/>
      <c r="BT47" s="44">
        <f>SUM(C47:BR47)</f>
        <v>0</v>
      </c>
    </row>
    <row r="48" spans="1:72" ht="11.5" thickTop="1" thickBot="1">
      <c r="A48" s="113" t="s">
        <v>77</v>
      </c>
      <c r="B48" s="58">
        <f t="shared" ref="B48:AJ48" si="11">SUM(B45:B47)</f>
        <v>0</v>
      </c>
      <c r="C48" s="82">
        <f t="shared" si="11"/>
        <v>0</v>
      </c>
      <c r="D48" s="58">
        <f t="shared" si="11"/>
        <v>0</v>
      </c>
      <c r="E48" s="58">
        <f t="shared" si="11"/>
        <v>0</v>
      </c>
      <c r="F48" s="58">
        <f t="shared" si="11"/>
        <v>0</v>
      </c>
      <c r="G48" s="58">
        <f t="shared" si="11"/>
        <v>0</v>
      </c>
      <c r="H48" s="58">
        <f t="shared" si="11"/>
        <v>0</v>
      </c>
      <c r="I48" s="58">
        <f t="shared" si="11"/>
        <v>0</v>
      </c>
      <c r="J48" s="58">
        <f t="shared" si="11"/>
        <v>0</v>
      </c>
      <c r="K48" s="58">
        <f t="shared" si="11"/>
        <v>0</v>
      </c>
      <c r="L48" s="58">
        <f t="shared" si="11"/>
        <v>0</v>
      </c>
      <c r="M48" s="58">
        <f t="shared" si="11"/>
        <v>0</v>
      </c>
      <c r="N48" s="58">
        <f t="shared" si="11"/>
        <v>0</v>
      </c>
      <c r="O48" s="58">
        <f t="shared" si="11"/>
        <v>0</v>
      </c>
      <c r="P48" s="58">
        <f t="shared" si="11"/>
        <v>0</v>
      </c>
      <c r="Q48" s="58">
        <f t="shared" si="11"/>
        <v>0</v>
      </c>
      <c r="R48" s="58">
        <f t="shared" si="11"/>
        <v>0</v>
      </c>
      <c r="S48" s="82">
        <f t="shared" si="11"/>
        <v>0</v>
      </c>
      <c r="T48" s="82">
        <f t="shared" si="11"/>
        <v>0</v>
      </c>
      <c r="U48" s="58">
        <f t="shared" si="11"/>
        <v>0</v>
      </c>
      <c r="V48" s="58">
        <f t="shared" si="11"/>
        <v>0</v>
      </c>
      <c r="W48" s="58">
        <f t="shared" si="11"/>
        <v>0</v>
      </c>
      <c r="X48" s="58">
        <f t="shared" si="11"/>
        <v>0</v>
      </c>
      <c r="Y48" s="58">
        <f t="shared" si="11"/>
        <v>0</v>
      </c>
      <c r="Z48" s="58">
        <f t="shared" si="11"/>
        <v>0</v>
      </c>
      <c r="AA48" s="58">
        <f t="shared" si="11"/>
        <v>0</v>
      </c>
      <c r="AB48" s="58">
        <f t="shared" si="11"/>
        <v>0</v>
      </c>
      <c r="AC48" s="58">
        <f t="shared" si="11"/>
        <v>0</v>
      </c>
      <c r="AD48" s="58">
        <f t="shared" si="11"/>
        <v>0</v>
      </c>
      <c r="AE48" s="58">
        <f t="shared" si="11"/>
        <v>0</v>
      </c>
      <c r="AF48" s="58">
        <f t="shared" si="11"/>
        <v>0</v>
      </c>
      <c r="AG48" s="58">
        <f t="shared" si="11"/>
        <v>0</v>
      </c>
      <c r="AH48" s="58">
        <f t="shared" si="11"/>
        <v>0</v>
      </c>
      <c r="AI48" s="58">
        <f t="shared" si="11"/>
        <v>0</v>
      </c>
      <c r="AJ48" s="58">
        <f t="shared" si="11"/>
        <v>0</v>
      </c>
      <c r="AK48" s="58">
        <f t="shared" ref="AK48:BP48" si="12">SUM(AK45:AK47)</f>
        <v>0</v>
      </c>
      <c r="AL48" s="58">
        <f t="shared" si="12"/>
        <v>0</v>
      </c>
      <c r="AM48" s="58">
        <f t="shared" si="12"/>
        <v>0</v>
      </c>
      <c r="AN48" s="82">
        <f t="shared" si="12"/>
        <v>0</v>
      </c>
      <c r="AO48" s="82">
        <f t="shared" si="12"/>
        <v>0</v>
      </c>
      <c r="AP48" s="112">
        <f t="shared" si="12"/>
        <v>0</v>
      </c>
      <c r="AQ48" s="58">
        <f t="shared" si="12"/>
        <v>0</v>
      </c>
      <c r="AR48" s="58">
        <f t="shared" si="12"/>
        <v>0</v>
      </c>
      <c r="AS48" s="58">
        <f t="shared" si="12"/>
        <v>0</v>
      </c>
      <c r="AT48" s="58">
        <f t="shared" si="12"/>
        <v>0</v>
      </c>
      <c r="AU48" s="58">
        <f t="shared" si="12"/>
        <v>0</v>
      </c>
      <c r="AV48" s="58">
        <f t="shared" si="12"/>
        <v>0</v>
      </c>
      <c r="AW48" s="58">
        <f t="shared" si="12"/>
        <v>0</v>
      </c>
      <c r="AX48" s="58">
        <f t="shared" si="12"/>
        <v>0</v>
      </c>
      <c r="AY48" s="58">
        <f t="shared" si="12"/>
        <v>0</v>
      </c>
      <c r="AZ48" s="58">
        <f t="shared" si="12"/>
        <v>0</v>
      </c>
      <c r="BA48" s="58">
        <f t="shared" si="12"/>
        <v>0</v>
      </c>
      <c r="BB48" s="58">
        <f t="shared" si="12"/>
        <v>0</v>
      </c>
      <c r="BC48" s="58">
        <f t="shared" si="12"/>
        <v>0</v>
      </c>
      <c r="BD48" s="58">
        <f>SUM(BD45:BD47)</f>
        <v>0</v>
      </c>
      <c r="BE48" s="58">
        <f>SUM(BE45:BE47)</f>
        <v>0</v>
      </c>
      <c r="BF48" s="58">
        <f t="shared" si="12"/>
        <v>0</v>
      </c>
      <c r="BG48" s="58">
        <f t="shared" si="12"/>
        <v>0</v>
      </c>
      <c r="BH48" s="58">
        <f t="shared" si="12"/>
        <v>0</v>
      </c>
      <c r="BI48" s="58">
        <f t="shared" si="12"/>
        <v>0</v>
      </c>
      <c r="BJ48" s="58">
        <f t="shared" si="12"/>
        <v>0</v>
      </c>
      <c r="BK48" s="58">
        <f t="shared" si="12"/>
        <v>0</v>
      </c>
      <c r="BL48" s="58">
        <f t="shared" si="12"/>
        <v>0</v>
      </c>
      <c r="BM48" s="58">
        <f t="shared" si="12"/>
        <v>0</v>
      </c>
      <c r="BN48" s="58">
        <f t="shared" si="12"/>
        <v>0</v>
      </c>
      <c r="BO48" s="58">
        <f t="shared" si="12"/>
        <v>0</v>
      </c>
      <c r="BP48" s="58">
        <f t="shared" si="12"/>
        <v>0</v>
      </c>
      <c r="BQ48" s="58">
        <f>SUM(BQ45:BQ47)</f>
        <v>0</v>
      </c>
      <c r="BR48" s="118">
        <f>BR45</f>
        <v>0</v>
      </c>
      <c r="BS48" s="45"/>
      <c r="BT48" s="252">
        <f>SUM(B48:BR48)</f>
        <v>0</v>
      </c>
    </row>
    <row r="49" spans="1:72" ht="8" thickTop="1" thickBot="1">
      <c r="A49" s="11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1"/>
      <c r="BT49" s="1"/>
    </row>
    <row r="50" spans="1:72" s="59" customFormat="1" ht="11" thickTop="1">
      <c r="A50" s="208" t="s">
        <v>78</v>
      </c>
      <c r="B50" s="18" t="str">
        <f>B$4</f>
        <v>Insurance</v>
      </c>
      <c r="C50" s="20" t="str">
        <f t="shared" ref="C50:E51" si="13">C4</f>
        <v>Licence</v>
      </c>
      <c r="D50" s="18" t="str">
        <f t="shared" si="13"/>
        <v>Mooring</v>
      </c>
      <c r="E50" s="18" t="str">
        <f t="shared" si="13"/>
        <v>Kings Lock</v>
      </c>
      <c r="F50" s="18" t="str">
        <f t="shared" ref="F50:AP50" si="14">F4</f>
        <v>J &amp; T Martin</v>
      </c>
      <c r="G50" s="18" t="str">
        <f t="shared" si="14"/>
        <v>Kee</v>
      </c>
      <c r="H50" s="18" t="str">
        <f t="shared" si="14"/>
        <v>Fisher</v>
      </c>
      <c r="I50" s="18" t="str">
        <f t="shared" si="14"/>
        <v>Atlass</v>
      </c>
      <c r="J50" s="18" t="str">
        <f t="shared" si="14"/>
        <v>Patricia</v>
      </c>
      <c r="K50" s="18" t="str">
        <f t="shared" si="14"/>
        <v>2023 licence</v>
      </c>
      <c r="L50" s="18" t="str">
        <f t="shared" si="14"/>
        <v>Kee</v>
      </c>
      <c r="M50" s="18" t="str">
        <f t="shared" si="14"/>
        <v>Kee</v>
      </c>
      <c r="N50" s="18" t="str">
        <f t="shared" si="14"/>
        <v>Kee</v>
      </c>
      <c r="O50" s="18">
        <f t="shared" si="14"/>
        <v>0</v>
      </c>
      <c r="P50" s="18">
        <f t="shared" si="14"/>
        <v>0</v>
      </c>
      <c r="Q50" s="18">
        <f t="shared" si="14"/>
        <v>0</v>
      </c>
      <c r="R50" s="18">
        <f t="shared" si="14"/>
        <v>0</v>
      </c>
      <c r="S50" s="13">
        <f t="shared" si="14"/>
        <v>0</v>
      </c>
      <c r="T50" s="13" t="str">
        <f t="shared" si="14"/>
        <v>unscheduled</v>
      </c>
      <c r="U50" s="18" t="str">
        <f t="shared" si="14"/>
        <v>James</v>
      </c>
      <c r="V50" s="18" t="str">
        <f t="shared" si="14"/>
        <v>Kee</v>
      </c>
      <c r="W50" s="18" t="str">
        <f t="shared" si="14"/>
        <v>unscheduled</v>
      </c>
      <c r="X50" s="18" t="str">
        <f t="shared" si="14"/>
        <v>Phil</v>
      </c>
      <c r="Y50" s="18" t="str">
        <f t="shared" si="14"/>
        <v>Atlass</v>
      </c>
      <c r="Z50" s="18" t="str">
        <f>Z4</f>
        <v>James</v>
      </c>
      <c r="AA50" s="18" t="str">
        <f t="shared" si="14"/>
        <v>unscheduled</v>
      </c>
      <c r="AB50" s="18" t="str">
        <f t="shared" si="14"/>
        <v>unscheduled</v>
      </c>
      <c r="AC50" s="18" t="str">
        <f t="shared" si="14"/>
        <v>unscheduled</v>
      </c>
      <c r="AD50" s="18" t="str">
        <f>AD4</f>
        <v>unscheduled</v>
      </c>
      <c r="AE50" s="18" t="str">
        <f t="shared" si="14"/>
        <v>Phil</v>
      </c>
      <c r="AF50" s="18" t="str">
        <f t="shared" si="14"/>
        <v>Atlass</v>
      </c>
      <c r="AG50" s="18" t="str">
        <f t="shared" si="14"/>
        <v>unscheduled</v>
      </c>
      <c r="AH50" s="18" t="str">
        <f t="shared" si="14"/>
        <v>unscheduled</v>
      </c>
      <c r="AI50" s="18" t="str">
        <f>AI4</f>
        <v>Martin</v>
      </c>
      <c r="AJ50" s="18" t="str">
        <f t="shared" si="14"/>
        <v>unscheduled</v>
      </c>
      <c r="AK50" s="18" t="str">
        <f t="shared" si="14"/>
        <v>Kee</v>
      </c>
      <c r="AL50" s="18" t="str">
        <f t="shared" si="14"/>
        <v>unscheduled</v>
      </c>
      <c r="AM50" s="18" t="str">
        <f t="shared" si="14"/>
        <v>James</v>
      </c>
      <c r="AN50" s="13" t="str">
        <f>AN4</f>
        <v>unscheduled</v>
      </c>
      <c r="AO50" s="13" t="str">
        <f>AO4</f>
        <v>unscheduled</v>
      </c>
      <c r="AP50" s="20" t="str">
        <f t="shared" si="14"/>
        <v>Atlass</v>
      </c>
      <c r="AQ50" s="18" t="str">
        <f t="shared" ref="AQ50:BO50" si="15">AQ4</f>
        <v>unscheduled</v>
      </c>
      <c r="AR50" s="18" t="str">
        <f t="shared" si="15"/>
        <v>unscheduled</v>
      </c>
      <c r="AS50" s="18" t="str">
        <f t="shared" si="15"/>
        <v>unscheduled</v>
      </c>
      <c r="AT50" s="18" t="str">
        <f t="shared" si="15"/>
        <v>Brough</v>
      </c>
      <c r="AU50" s="18" t="str">
        <f t="shared" si="15"/>
        <v>unscheduled</v>
      </c>
      <c r="AV50" s="18" t="str">
        <f t="shared" si="15"/>
        <v>unscheduled</v>
      </c>
      <c r="AW50" s="18" t="str">
        <f>AW4</f>
        <v>unscheduled</v>
      </c>
      <c r="AX50" s="18" t="str">
        <f t="shared" si="15"/>
        <v>unscheduled</v>
      </c>
      <c r="AY50" s="18" t="str">
        <f>AY4</f>
        <v>unscheduled</v>
      </c>
      <c r="AZ50" s="18" t="str">
        <f t="shared" si="15"/>
        <v>unscheduled</v>
      </c>
      <c r="BA50" s="18" t="str">
        <f t="shared" si="15"/>
        <v>Kee</v>
      </c>
      <c r="BB50" s="18" t="str">
        <f>BB4</f>
        <v>unscheduled</v>
      </c>
      <c r="BC50" s="18" t="str">
        <f t="shared" si="15"/>
        <v>unscheduled</v>
      </c>
      <c r="BD50" s="18" t="str">
        <f t="shared" si="15"/>
        <v>unscheduled</v>
      </c>
      <c r="BE50" s="18" t="str">
        <f t="shared" si="15"/>
        <v>unscheduled</v>
      </c>
      <c r="BF50" s="18" t="str">
        <f>BF4</f>
        <v>unscheduled</v>
      </c>
      <c r="BG50" s="18" t="str">
        <f t="shared" si="15"/>
        <v>unscheduled</v>
      </c>
      <c r="BH50" s="18">
        <f t="shared" si="15"/>
        <v>0</v>
      </c>
      <c r="BI50" s="18">
        <f t="shared" si="15"/>
        <v>0</v>
      </c>
      <c r="BJ50" s="18">
        <f t="shared" si="15"/>
        <v>0</v>
      </c>
      <c r="BK50" s="18">
        <f t="shared" si="15"/>
        <v>0</v>
      </c>
      <c r="BL50" s="18">
        <f t="shared" si="15"/>
        <v>0</v>
      </c>
      <c r="BM50" s="18">
        <f>BM4</f>
        <v>0</v>
      </c>
      <c r="BN50" s="18">
        <f>BN4</f>
        <v>0</v>
      </c>
      <c r="BO50" s="18">
        <f t="shared" si="15"/>
        <v>0</v>
      </c>
      <c r="BP50" s="18">
        <f>BP4</f>
        <v>0</v>
      </c>
      <c r="BQ50" s="18">
        <f>BQ4</f>
        <v>0</v>
      </c>
      <c r="BR50" s="60">
        <f>MAINTENANCE!BP28</f>
        <v>0</v>
      </c>
      <c r="BS50" s="15"/>
      <c r="BT50" s="14"/>
    </row>
    <row r="51" spans="1:72" ht="7.5" thickBot="1">
      <c r="A51" s="718"/>
      <c r="B51" s="153">
        <f>B$5</f>
        <v>44591</v>
      </c>
      <c r="C51" s="152">
        <f t="shared" si="13"/>
        <v>0</v>
      </c>
      <c r="D51" s="153">
        <f t="shared" si="13"/>
        <v>44854</v>
      </c>
      <c r="E51" s="153">
        <f t="shared" si="13"/>
        <v>44673</v>
      </c>
      <c r="F51" s="153">
        <f t="shared" ref="F51:AP51" si="16">F5</f>
        <v>44677</v>
      </c>
      <c r="G51" s="153">
        <f t="shared" si="16"/>
        <v>2</v>
      </c>
      <c r="H51" s="153">
        <f t="shared" si="16"/>
        <v>44786</v>
      </c>
      <c r="I51" s="153">
        <f t="shared" si="16"/>
        <v>44784</v>
      </c>
      <c r="J51" s="153">
        <f t="shared" si="16"/>
        <v>44967</v>
      </c>
      <c r="K51" s="153">
        <f t="shared" si="16"/>
        <v>0</v>
      </c>
      <c r="L51" s="153">
        <f t="shared" si="16"/>
        <v>44896</v>
      </c>
      <c r="M51" s="153">
        <f t="shared" si="16"/>
        <v>45283</v>
      </c>
      <c r="N51" s="153">
        <f t="shared" si="16"/>
        <v>45234</v>
      </c>
      <c r="O51" s="153">
        <f t="shared" si="16"/>
        <v>0</v>
      </c>
      <c r="P51" s="153">
        <f t="shared" si="16"/>
        <v>0</v>
      </c>
      <c r="Q51" s="153">
        <f t="shared" si="16"/>
        <v>0</v>
      </c>
      <c r="R51" s="153">
        <f t="shared" si="16"/>
        <v>0</v>
      </c>
      <c r="S51" s="154">
        <f t="shared" si="16"/>
        <v>0</v>
      </c>
      <c r="T51" s="154">
        <f t="shared" si="16"/>
        <v>44686</v>
      </c>
      <c r="U51" s="153">
        <f t="shared" si="16"/>
        <v>44693</v>
      </c>
      <c r="V51" s="153">
        <f t="shared" si="16"/>
        <v>44700</v>
      </c>
      <c r="W51" s="153">
        <f t="shared" si="16"/>
        <v>44707</v>
      </c>
      <c r="X51" s="153">
        <f t="shared" si="16"/>
        <v>44714</v>
      </c>
      <c r="Y51" s="153">
        <f t="shared" si="16"/>
        <v>44721</v>
      </c>
      <c r="Z51" s="153">
        <f>Z5</f>
        <v>44728</v>
      </c>
      <c r="AA51" s="153">
        <f t="shared" si="16"/>
        <v>44735</v>
      </c>
      <c r="AB51" s="153">
        <f t="shared" si="16"/>
        <v>44742</v>
      </c>
      <c r="AC51" s="153">
        <f t="shared" si="16"/>
        <v>44749</v>
      </c>
      <c r="AD51" s="153">
        <f>AD5</f>
        <v>44756</v>
      </c>
      <c r="AE51" s="153">
        <f t="shared" si="16"/>
        <v>44763</v>
      </c>
      <c r="AF51" s="153">
        <f t="shared" si="16"/>
        <v>44770</v>
      </c>
      <c r="AG51" s="153">
        <f t="shared" si="16"/>
        <v>44777</v>
      </c>
      <c r="AH51" s="153">
        <f t="shared" si="16"/>
        <v>44784</v>
      </c>
      <c r="AI51" s="153">
        <f>AI5</f>
        <v>44791</v>
      </c>
      <c r="AJ51" s="153">
        <f t="shared" si="16"/>
        <v>44798</v>
      </c>
      <c r="AK51" s="153">
        <f t="shared" si="16"/>
        <v>44805</v>
      </c>
      <c r="AL51" s="153">
        <f t="shared" si="16"/>
        <v>44812</v>
      </c>
      <c r="AM51" s="153">
        <f t="shared" si="16"/>
        <v>44819</v>
      </c>
      <c r="AN51" s="154">
        <f>AN5</f>
        <v>44826</v>
      </c>
      <c r="AO51" s="154">
        <f>AO5</f>
        <v>44833</v>
      </c>
      <c r="AP51" s="152">
        <f t="shared" si="16"/>
        <v>44840</v>
      </c>
      <c r="AQ51" s="153">
        <f t="shared" ref="AQ51:BO51" si="17">AQ5</f>
        <v>44847</v>
      </c>
      <c r="AR51" s="153">
        <f t="shared" si="17"/>
        <v>44854</v>
      </c>
      <c r="AS51" s="153">
        <f t="shared" si="17"/>
        <v>44861</v>
      </c>
      <c r="AT51" s="153">
        <f t="shared" si="17"/>
        <v>44868</v>
      </c>
      <c r="AU51" s="153">
        <f t="shared" si="17"/>
        <v>44875</v>
      </c>
      <c r="AV51" s="153">
        <f t="shared" si="17"/>
        <v>44882</v>
      </c>
      <c r="AW51" s="153">
        <f>AW5</f>
        <v>44889</v>
      </c>
      <c r="AX51" s="153">
        <f t="shared" si="17"/>
        <v>44896</v>
      </c>
      <c r="AY51" s="153">
        <f>AY5</f>
        <v>44903</v>
      </c>
      <c r="AZ51" s="153">
        <f t="shared" si="17"/>
        <v>44910</v>
      </c>
      <c r="BA51" s="153">
        <f t="shared" si="17"/>
        <v>44917</v>
      </c>
      <c r="BB51" s="153">
        <f>BB5</f>
        <v>44924</v>
      </c>
      <c r="BC51" s="153">
        <f t="shared" si="17"/>
        <v>44553</v>
      </c>
      <c r="BD51" s="153">
        <f t="shared" si="17"/>
        <v>44560</v>
      </c>
      <c r="BE51" s="153">
        <f t="shared" si="17"/>
        <v>44567</v>
      </c>
      <c r="BF51" s="153">
        <f>BF5</f>
        <v>44574</v>
      </c>
      <c r="BG51" s="153">
        <f t="shared" si="17"/>
        <v>44581</v>
      </c>
      <c r="BH51" s="153">
        <f t="shared" si="17"/>
        <v>0</v>
      </c>
      <c r="BI51" s="153">
        <f t="shared" si="17"/>
        <v>0</v>
      </c>
      <c r="BJ51" s="153">
        <f t="shared" si="17"/>
        <v>0</v>
      </c>
      <c r="BK51" s="153">
        <f t="shared" si="17"/>
        <v>0</v>
      </c>
      <c r="BL51" s="153">
        <f t="shared" si="17"/>
        <v>0</v>
      </c>
      <c r="BM51" s="153">
        <f>BM5</f>
        <v>0</v>
      </c>
      <c r="BN51" s="153" t="e">
        <f>BN5</f>
        <v>#REF!</v>
      </c>
      <c r="BO51" s="153">
        <f t="shared" si="17"/>
        <v>0</v>
      </c>
      <c r="BP51" s="153">
        <f>BP5</f>
        <v>0</v>
      </c>
      <c r="BQ51" s="153">
        <f>BQ5</f>
        <v>0</v>
      </c>
      <c r="BR51" s="155">
        <f>MAINTENANCE!BP29</f>
        <v>0</v>
      </c>
      <c r="BS51" s="15"/>
      <c r="BT51" s="14"/>
    </row>
    <row r="52" spans="1:72" ht="7.5" thickTop="1">
      <c r="A52" s="450" t="s">
        <v>256</v>
      </c>
      <c r="B52" s="327"/>
      <c r="C52" s="329"/>
      <c r="D52" s="327"/>
      <c r="E52" s="353">
        <v>3984.31</v>
      </c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9"/>
      <c r="T52" s="329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  <c r="AJ52" s="327"/>
      <c r="AK52" s="327"/>
      <c r="AL52" s="327"/>
      <c r="AM52" s="327"/>
      <c r="AN52" s="329"/>
      <c r="AO52" s="329"/>
      <c r="AP52" s="328"/>
      <c r="AQ52" s="327"/>
      <c r="AR52" s="327"/>
      <c r="AS52" s="327"/>
      <c r="AT52" s="327"/>
      <c r="AU52" s="327"/>
      <c r="AV52" s="327"/>
      <c r="AW52" s="327"/>
      <c r="AX52" s="327"/>
      <c r="AY52" s="327"/>
      <c r="AZ52" s="327"/>
      <c r="BA52" s="327"/>
      <c r="BB52" s="327"/>
      <c r="BC52" s="327"/>
      <c r="BD52" s="327"/>
      <c r="BE52" s="327"/>
      <c r="BF52" s="327"/>
      <c r="BG52" s="327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7"/>
      <c r="BS52" s="45"/>
      <c r="BT52" s="44">
        <f t="shared" ref="BT52:BT58" si="18">SUM(C52:BR52)</f>
        <v>3984.31</v>
      </c>
    </row>
    <row r="53" spans="1:72">
      <c r="A53" s="450" t="s">
        <v>259</v>
      </c>
      <c r="B53" s="327"/>
      <c r="C53" s="329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9"/>
      <c r="T53" s="329"/>
      <c r="U53" s="327"/>
      <c r="V53" s="327">
        <v>22.99</v>
      </c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9"/>
      <c r="AO53" s="329"/>
      <c r="AP53" s="328"/>
      <c r="AQ53" s="327"/>
      <c r="AR53" s="327"/>
      <c r="AS53" s="327"/>
      <c r="AT53" s="327"/>
      <c r="AU53" s="327"/>
      <c r="AV53" s="327"/>
      <c r="AW53" s="327"/>
      <c r="AX53" s="327"/>
      <c r="AY53" s="327"/>
      <c r="AZ53" s="327"/>
      <c r="BA53" s="327"/>
      <c r="BB53" s="327"/>
      <c r="BC53" s="327"/>
      <c r="BD53" s="327"/>
      <c r="BE53" s="327"/>
      <c r="BF53" s="327"/>
      <c r="BG53" s="327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7"/>
      <c r="BS53" s="45"/>
      <c r="BT53" s="44">
        <f t="shared" si="18"/>
        <v>22.99</v>
      </c>
    </row>
    <row r="54" spans="1:72">
      <c r="A54" s="450" t="s">
        <v>260</v>
      </c>
      <c r="B54" s="327"/>
      <c r="C54" s="329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9"/>
      <c r="T54" s="329"/>
      <c r="U54" s="327"/>
      <c r="V54" s="327"/>
      <c r="W54" s="327"/>
      <c r="X54" s="327"/>
      <c r="Y54" s="327"/>
      <c r="Z54" s="327"/>
      <c r="AA54" s="327"/>
      <c r="AB54" s="327"/>
      <c r="AC54" s="327"/>
      <c r="AD54" s="327"/>
      <c r="AE54" s="327">
        <v>48</v>
      </c>
      <c r="AF54" s="327"/>
      <c r="AG54" s="327"/>
      <c r="AH54" s="327"/>
      <c r="AI54" s="327"/>
      <c r="AJ54" s="327"/>
      <c r="AK54" s="327"/>
      <c r="AL54" s="327"/>
      <c r="AM54" s="327"/>
      <c r="AN54" s="329"/>
      <c r="AO54" s="329"/>
      <c r="AP54" s="328"/>
      <c r="AQ54" s="327"/>
      <c r="AR54" s="327"/>
      <c r="AS54" s="327"/>
      <c r="AT54" s="327"/>
      <c r="AU54" s="327"/>
      <c r="AV54" s="327"/>
      <c r="AW54" s="327"/>
      <c r="AX54" s="327"/>
      <c r="AY54" s="327"/>
      <c r="AZ54" s="327"/>
      <c r="BA54" s="327"/>
      <c r="BB54" s="327"/>
      <c r="BC54" s="327"/>
      <c r="BD54" s="327"/>
      <c r="BE54" s="327"/>
      <c r="BF54" s="327"/>
      <c r="BG54" s="327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7"/>
      <c r="BS54" s="45"/>
      <c r="BT54" s="44">
        <f t="shared" si="18"/>
        <v>48</v>
      </c>
    </row>
    <row r="55" spans="1:72">
      <c r="A55" s="450" t="s">
        <v>270</v>
      </c>
      <c r="B55" s="327"/>
      <c r="C55" s="329"/>
      <c r="D55" s="327"/>
      <c r="E55" s="327"/>
      <c r="F55" s="327"/>
      <c r="G55" s="327"/>
      <c r="H55" s="327"/>
      <c r="I55" s="327"/>
      <c r="J55" s="327"/>
      <c r="K55" s="327"/>
      <c r="L55" s="327">
        <v>144.43</v>
      </c>
      <c r="M55" s="327"/>
      <c r="N55" s="327"/>
      <c r="O55" s="327"/>
      <c r="P55" s="327"/>
      <c r="Q55" s="327"/>
      <c r="R55" s="327"/>
      <c r="S55" s="329"/>
      <c r="T55" s="329"/>
      <c r="U55" s="327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7"/>
      <c r="AH55" s="327"/>
      <c r="AI55" s="327"/>
      <c r="AJ55" s="327"/>
      <c r="AK55" s="327"/>
      <c r="AL55" s="327"/>
      <c r="AM55" s="327"/>
      <c r="AN55" s="329"/>
      <c r="AO55" s="329"/>
      <c r="AP55" s="328"/>
      <c r="AQ55" s="327"/>
      <c r="AR55" s="327"/>
      <c r="AS55" s="327"/>
      <c r="AT55" s="327"/>
      <c r="AU55" s="327"/>
      <c r="AV55" s="327"/>
      <c r="AW55" s="327"/>
      <c r="AX55" s="327"/>
      <c r="AY55" s="327"/>
      <c r="AZ55" s="327"/>
      <c r="BA55" s="327"/>
      <c r="BB55" s="327"/>
      <c r="BC55" s="327"/>
      <c r="BD55" s="327"/>
      <c r="BE55" s="327"/>
      <c r="BF55" s="327"/>
      <c r="BG55" s="327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7"/>
      <c r="BS55" s="45"/>
      <c r="BT55" s="44">
        <f t="shared" ref="BT55" si="19">SUM(C55:BR55)</f>
        <v>144.43</v>
      </c>
    </row>
    <row r="56" spans="1:72">
      <c r="A56" s="450" t="s">
        <v>269</v>
      </c>
      <c r="B56" s="327"/>
      <c r="C56" s="329"/>
      <c r="D56" s="327"/>
      <c r="E56" s="327"/>
      <c r="F56" s="327"/>
      <c r="G56" s="327"/>
      <c r="H56" s="327"/>
      <c r="I56" s="327"/>
      <c r="J56" s="327"/>
      <c r="K56" s="327"/>
      <c r="L56" s="327">
        <v>117.55000000000001</v>
      </c>
      <c r="M56" s="327"/>
      <c r="N56" s="327"/>
      <c r="O56" s="327"/>
      <c r="P56" s="327"/>
      <c r="Q56" s="327"/>
      <c r="R56" s="327"/>
      <c r="S56" s="329"/>
      <c r="T56" s="329"/>
      <c r="U56" s="327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  <c r="AF56" s="327"/>
      <c r="AG56" s="327"/>
      <c r="AH56" s="327"/>
      <c r="AI56" s="327"/>
      <c r="AJ56" s="327"/>
      <c r="AK56" s="327"/>
      <c r="AL56" s="327"/>
      <c r="AM56" s="327"/>
      <c r="AN56" s="329"/>
      <c r="AO56" s="329"/>
      <c r="AP56" s="328"/>
      <c r="AQ56" s="327"/>
      <c r="AR56" s="327"/>
      <c r="AS56" s="327"/>
      <c r="AT56" s="327"/>
      <c r="AU56" s="327"/>
      <c r="AV56" s="327"/>
      <c r="AW56" s="327"/>
      <c r="AX56" s="327"/>
      <c r="AY56" s="327"/>
      <c r="AZ56" s="327"/>
      <c r="BA56" s="327"/>
      <c r="BB56" s="327"/>
      <c r="BC56" s="327"/>
      <c r="BD56" s="327"/>
      <c r="BE56" s="327"/>
      <c r="BF56" s="327"/>
      <c r="BG56" s="327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7"/>
      <c r="BS56" s="45"/>
      <c r="BT56" s="44">
        <f t="shared" si="18"/>
        <v>117.55000000000001</v>
      </c>
    </row>
    <row r="57" spans="1:72" s="224" customFormat="1" ht="9" customHeight="1">
      <c r="A57" s="450" t="s">
        <v>279</v>
      </c>
      <c r="B57" s="327"/>
      <c r="C57" s="329"/>
      <c r="D57" s="327"/>
      <c r="E57" s="327"/>
      <c r="F57" s="327"/>
      <c r="G57" s="327"/>
      <c r="H57" s="327"/>
      <c r="I57" s="327"/>
      <c r="J57" s="327"/>
      <c r="K57" s="327"/>
      <c r="L57" s="327">
        <v>27.99</v>
      </c>
      <c r="M57" s="327"/>
      <c r="N57" s="327"/>
      <c r="O57" s="327"/>
      <c r="P57" s="327"/>
      <c r="Q57" s="327"/>
      <c r="R57" s="327"/>
      <c r="S57" s="329"/>
      <c r="T57" s="329"/>
      <c r="U57" s="327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  <c r="AJ57" s="327"/>
      <c r="AK57" s="327"/>
      <c r="AL57" s="327"/>
      <c r="AM57" s="327"/>
      <c r="AN57" s="329"/>
      <c r="AO57" s="329"/>
      <c r="AP57" s="328"/>
      <c r="AQ57" s="327"/>
      <c r="AR57" s="327"/>
      <c r="AS57" s="327"/>
      <c r="AT57" s="327"/>
      <c r="AU57" s="327"/>
      <c r="AV57" s="327"/>
      <c r="AW57" s="327"/>
      <c r="AX57" s="327"/>
      <c r="AY57" s="327"/>
      <c r="AZ57" s="327"/>
      <c r="BA57" s="327"/>
      <c r="BB57" s="327"/>
      <c r="BC57" s="327"/>
      <c r="BD57" s="327"/>
      <c r="BE57" s="327"/>
      <c r="BF57" s="327"/>
      <c r="BG57" s="327"/>
      <c r="BH57" s="221"/>
      <c r="BI57" s="221"/>
      <c r="BJ57" s="221"/>
      <c r="BK57" s="221"/>
      <c r="BL57" s="221"/>
      <c r="BM57" s="221"/>
      <c r="BN57" s="221"/>
      <c r="BO57" s="221"/>
      <c r="BP57" s="221"/>
      <c r="BQ57" s="221"/>
      <c r="BR57" s="222"/>
      <c r="BS57" s="223"/>
      <c r="BT57" s="44">
        <f t="shared" si="18"/>
        <v>27.99</v>
      </c>
    </row>
    <row r="58" spans="1:72" ht="7.5" thickBot="1">
      <c r="A58" s="450"/>
      <c r="B58" s="327"/>
      <c r="C58" s="329"/>
      <c r="D58" s="327"/>
      <c r="E58" s="327"/>
      <c r="F58" s="327"/>
      <c r="G58" s="327"/>
      <c r="H58" s="327"/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9"/>
      <c r="T58" s="329"/>
      <c r="U58" s="327"/>
      <c r="V58" s="327"/>
      <c r="W58" s="327"/>
      <c r="X58" s="327"/>
      <c r="Y58" s="327"/>
      <c r="Z58" s="327"/>
      <c r="AA58" s="327"/>
      <c r="AB58" s="327"/>
      <c r="AC58" s="327"/>
      <c r="AD58" s="327"/>
      <c r="AE58" s="327"/>
      <c r="AF58" s="327"/>
      <c r="AG58" s="327"/>
      <c r="AH58" s="327"/>
      <c r="AI58" s="327"/>
      <c r="AJ58" s="327"/>
      <c r="AK58" s="327"/>
      <c r="AL58" s="327"/>
      <c r="AM58" s="327"/>
      <c r="AN58" s="329"/>
      <c r="AO58" s="329"/>
      <c r="AP58" s="328"/>
      <c r="AQ58" s="327"/>
      <c r="AR58" s="327"/>
      <c r="AS58" s="327"/>
      <c r="AT58" s="327"/>
      <c r="AU58" s="327"/>
      <c r="AV58" s="327"/>
      <c r="AW58" s="327"/>
      <c r="AX58" s="327"/>
      <c r="AY58" s="327"/>
      <c r="AZ58" s="327"/>
      <c r="BA58" s="327"/>
      <c r="BB58" s="327"/>
      <c r="BC58" s="327"/>
      <c r="BD58" s="327"/>
      <c r="BE58" s="327"/>
      <c r="BF58" s="327"/>
      <c r="BG58" s="327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7"/>
      <c r="BS58" s="45"/>
      <c r="BT58" s="44">
        <f t="shared" si="18"/>
        <v>0</v>
      </c>
    </row>
    <row r="59" spans="1:72" ht="11.5" thickTop="1" thickBot="1">
      <c r="A59" s="113" t="s">
        <v>77</v>
      </c>
      <c r="B59" s="58">
        <f t="shared" ref="B59:J59" si="20">SUM(B52:B58)</f>
        <v>0</v>
      </c>
      <c r="C59" s="112">
        <f t="shared" si="20"/>
        <v>0</v>
      </c>
      <c r="D59" s="58">
        <f t="shared" si="20"/>
        <v>0</v>
      </c>
      <c r="E59" s="58">
        <f t="shared" si="20"/>
        <v>3984.31</v>
      </c>
      <c r="F59" s="58">
        <f t="shared" si="20"/>
        <v>0</v>
      </c>
      <c r="G59" s="58">
        <f t="shared" si="20"/>
        <v>0</v>
      </c>
      <c r="H59" s="58">
        <f t="shared" si="20"/>
        <v>0</v>
      </c>
      <c r="I59" s="58">
        <f t="shared" si="20"/>
        <v>0</v>
      </c>
      <c r="J59" s="58">
        <f t="shared" si="20"/>
        <v>0</v>
      </c>
      <c r="K59" s="58">
        <f t="shared" ref="K59:W59" si="21">SUM(K52:K58)</f>
        <v>0</v>
      </c>
      <c r="L59" s="58">
        <f>SUM(L52:L58)</f>
        <v>289.97000000000003</v>
      </c>
      <c r="M59" s="58">
        <f>SUM(M52:M58)</f>
        <v>0</v>
      </c>
      <c r="N59" s="58">
        <f>SUM(N52:N58)</f>
        <v>0</v>
      </c>
      <c r="O59" s="58">
        <f>SUM(O52:O58)</f>
        <v>0</v>
      </c>
      <c r="P59" s="58">
        <f t="shared" si="21"/>
        <v>0</v>
      </c>
      <c r="Q59" s="58">
        <f t="shared" si="21"/>
        <v>0</v>
      </c>
      <c r="R59" s="58">
        <f t="shared" si="21"/>
        <v>0</v>
      </c>
      <c r="S59" s="82">
        <f t="shared" si="21"/>
        <v>0</v>
      </c>
      <c r="T59" s="82">
        <f t="shared" si="21"/>
        <v>0</v>
      </c>
      <c r="U59" s="58">
        <f t="shared" si="21"/>
        <v>0</v>
      </c>
      <c r="V59" s="58">
        <f>SUM(V52:V58)</f>
        <v>22.99</v>
      </c>
      <c r="W59" s="58">
        <f t="shared" si="21"/>
        <v>0</v>
      </c>
      <c r="X59" s="58">
        <f>SUM(X52:X58)</f>
        <v>0</v>
      </c>
      <c r="Y59" s="58">
        <f t="shared" ref="Y59:AI59" si="22">SUM(Y52:Y58)</f>
        <v>0</v>
      </c>
      <c r="Z59" s="58">
        <f t="shared" si="22"/>
        <v>0</v>
      </c>
      <c r="AA59" s="58">
        <f t="shared" si="22"/>
        <v>0</v>
      </c>
      <c r="AB59" s="58">
        <f t="shared" si="22"/>
        <v>0</v>
      </c>
      <c r="AC59" s="58">
        <f t="shared" si="22"/>
        <v>0</v>
      </c>
      <c r="AD59" s="58">
        <f t="shared" si="22"/>
        <v>0</v>
      </c>
      <c r="AE59" s="58">
        <f t="shared" si="22"/>
        <v>48</v>
      </c>
      <c r="AF59" s="58">
        <f t="shared" si="22"/>
        <v>0</v>
      </c>
      <c r="AG59" s="58">
        <f t="shared" si="22"/>
        <v>0</v>
      </c>
      <c r="AH59" s="58">
        <f t="shared" si="22"/>
        <v>0</v>
      </c>
      <c r="AI59" s="58">
        <f t="shared" si="22"/>
        <v>0</v>
      </c>
      <c r="AJ59" s="58">
        <f t="shared" ref="AJ59:AP59" si="23">SUM(AJ52:AJ58)</f>
        <v>0</v>
      </c>
      <c r="AK59" s="58">
        <f t="shared" si="23"/>
        <v>0</v>
      </c>
      <c r="AL59" s="58">
        <f t="shared" si="23"/>
        <v>0</v>
      </c>
      <c r="AM59" s="58">
        <f t="shared" si="23"/>
        <v>0</v>
      </c>
      <c r="AN59" s="82">
        <f t="shared" si="23"/>
        <v>0</v>
      </c>
      <c r="AO59" s="82">
        <f t="shared" si="23"/>
        <v>0</v>
      </c>
      <c r="AP59" s="112">
        <f t="shared" si="23"/>
        <v>0</v>
      </c>
      <c r="AQ59" s="58">
        <f t="shared" ref="AQ59:BP59" si="24">SUM(AQ52:AQ58)</f>
        <v>0</v>
      </c>
      <c r="AR59" s="58">
        <f t="shared" si="24"/>
        <v>0</v>
      </c>
      <c r="AS59" s="58">
        <f t="shared" si="24"/>
        <v>0</v>
      </c>
      <c r="AT59" s="58">
        <f t="shared" si="24"/>
        <v>0</v>
      </c>
      <c r="AU59" s="58">
        <f t="shared" si="24"/>
        <v>0</v>
      </c>
      <c r="AV59" s="58">
        <f t="shared" si="24"/>
        <v>0</v>
      </c>
      <c r="AW59" s="58">
        <f t="shared" si="24"/>
        <v>0</v>
      </c>
      <c r="AX59" s="58">
        <f t="shared" si="24"/>
        <v>0</v>
      </c>
      <c r="AY59" s="58">
        <f t="shared" si="24"/>
        <v>0</v>
      </c>
      <c r="AZ59" s="58">
        <f t="shared" si="24"/>
        <v>0</v>
      </c>
      <c r="BA59" s="58">
        <f t="shared" si="24"/>
        <v>0</v>
      </c>
      <c r="BB59" s="58">
        <f t="shared" si="24"/>
        <v>0</v>
      </c>
      <c r="BC59" s="58">
        <f t="shared" si="24"/>
        <v>0</v>
      </c>
      <c r="BD59" s="58">
        <f>SUM(BD52:BD58)</f>
        <v>0</v>
      </c>
      <c r="BE59" s="58">
        <f>SUM(BE52:BE58)</f>
        <v>0</v>
      </c>
      <c r="BF59" s="58">
        <f t="shared" si="24"/>
        <v>0</v>
      </c>
      <c r="BG59" s="58">
        <f t="shared" si="24"/>
        <v>0</v>
      </c>
      <c r="BH59" s="58">
        <f t="shared" si="24"/>
        <v>0</v>
      </c>
      <c r="BI59" s="58">
        <f t="shared" si="24"/>
        <v>0</v>
      </c>
      <c r="BJ59" s="58">
        <f t="shared" si="24"/>
        <v>0</v>
      </c>
      <c r="BK59" s="58">
        <f t="shared" si="24"/>
        <v>0</v>
      </c>
      <c r="BL59" s="58">
        <f t="shared" si="24"/>
        <v>0</v>
      </c>
      <c r="BM59" s="58">
        <f t="shared" si="24"/>
        <v>0</v>
      </c>
      <c r="BN59" s="58">
        <f t="shared" si="24"/>
        <v>0</v>
      </c>
      <c r="BO59" s="58">
        <f t="shared" si="24"/>
        <v>0</v>
      </c>
      <c r="BP59" s="58">
        <f t="shared" si="24"/>
        <v>0</v>
      </c>
      <c r="BQ59" s="58">
        <f>SUM(BQ52:BQ58)</f>
        <v>0</v>
      </c>
      <c r="BR59" s="118">
        <f>BR52</f>
        <v>0</v>
      </c>
      <c r="BS59" s="45"/>
      <c r="BT59" s="252">
        <f>SUM(B59:BR59)</f>
        <v>4345.2699999999995</v>
      </c>
    </row>
    <row r="60" spans="1:72" ht="8" thickTop="1" thickBot="1">
      <c r="A60" s="11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1"/>
      <c r="BT60" s="1"/>
    </row>
    <row r="61" spans="1:72" ht="11" thickTop="1">
      <c r="A61" s="111" t="s">
        <v>41</v>
      </c>
      <c r="B61" s="4"/>
      <c r="C61" s="1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6"/>
      <c r="T61" s="16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16"/>
      <c r="AO61" s="16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5"/>
      <c r="BS61" s="9"/>
      <c r="BT61" s="1"/>
    </row>
    <row r="62" spans="1:72">
      <c r="A62" s="664" t="s">
        <v>238</v>
      </c>
      <c r="B62" s="507"/>
      <c r="C62" s="508"/>
      <c r="D62" s="507"/>
      <c r="E62" s="507"/>
      <c r="F62" s="507"/>
      <c r="G62" s="507">
        <v>5.99</v>
      </c>
      <c r="H62" s="507"/>
      <c r="I62" s="507"/>
      <c r="J62" s="507"/>
      <c r="K62" s="507"/>
      <c r="L62" s="507"/>
      <c r="M62" s="507"/>
      <c r="N62" s="507"/>
      <c r="O62" s="507"/>
      <c r="P62" s="507"/>
      <c r="Q62" s="507"/>
      <c r="R62" s="507"/>
      <c r="S62" s="508"/>
      <c r="T62" s="508"/>
      <c r="U62" s="507"/>
      <c r="V62" s="507"/>
      <c r="W62" s="507"/>
      <c r="X62" s="507"/>
      <c r="Y62" s="507"/>
      <c r="Z62" s="507"/>
      <c r="AA62" s="507"/>
      <c r="AB62" s="507"/>
      <c r="AC62" s="507"/>
      <c r="AD62" s="507"/>
      <c r="AE62" s="507"/>
      <c r="AF62" s="507"/>
      <c r="AG62" s="507"/>
      <c r="AH62" s="507"/>
      <c r="AI62" s="507"/>
      <c r="AJ62" s="507"/>
      <c r="AK62" s="507"/>
      <c r="AL62" s="507"/>
      <c r="AM62" s="507"/>
      <c r="AN62" s="508"/>
      <c r="AO62" s="508"/>
      <c r="AP62" s="509"/>
      <c r="AQ62" s="507"/>
      <c r="AR62" s="507"/>
      <c r="AS62" s="507"/>
      <c r="AT62" s="327"/>
      <c r="AU62" s="327"/>
      <c r="AV62" s="327"/>
      <c r="AW62" s="327"/>
      <c r="AX62" s="327"/>
      <c r="AY62" s="327"/>
      <c r="AZ62" s="327"/>
      <c r="BA62" s="329"/>
      <c r="BB62" s="327"/>
      <c r="BC62" s="327"/>
      <c r="BD62" s="327"/>
      <c r="BE62" s="327"/>
      <c r="BF62" s="327"/>
      <c r="BG62" s="327"/>
      <c r="BH62" s="329"/>
      <c r="BI62" s="52"/>
      <c r="BJ62" s="52"/>
      <c r="BK62" s="52"/>
      <c r="BL62" s="52"/>
      <c r="BM62" s="52"/>
      <c r="BN62" s="52"/>
      <c r="BO62" s="52"/>
      <c r="BP62" s="52"/>
      <c r="BQ62" s="52"/>
      <c r="BR62" s="57"/>
      <c r="BS62" s="45"/>
      <c r="BT62" s="44">
        <f t="shared" ref="BT62" si="25">SUM(C62:BR62)</f>
        <v>5.99</v>
      </c>
    </row>
    <row r="63" spans="1:72">
      <c r="A63" s="664" t="s">
        <v>254</v>
      </c>
      <c r="B63" s="507"/>
      <c r="C63" s="508"/>
      <c r="D63" s="507"/>
      <c r="E63" s="507"/>
      <c r="F63" s="507"/>
      <c r="G63" s="507"/>
      <c r="H63" s="507"/>
      <c r="I63" s="507"/>
      <c r="J63" s="507">
        <f>20+12+27.51</f>
        <v>59.510000000000005</v>
      </c>
      <c r="K63" s="507"/>
      <c r="L63" s="507"/>
      <c r="M63" s="507"/>
      <c r="N63" s="507"/>
      <c r="O63" s="507"/>
      <c r="P63" s="507"/>
      <c r="Q63" s="507"/>
      <c r="R63" s="507"/>
      <c r="S63" s="508"/>
      <c r="T63" s="508"/>
      <c r="U63" s="507"/>
      <c r="V63" s="507"/>
      <c r="W63" s="507"/>
      <c r="X63" s="507"/>
      <c r="Y63" s="507"/>
      <c r="Z63" s="507"/>
      <c r="AA63" s="507"/>
      <c r="AB63" s="507"/>
      <c r="AC63" s="507"/>
      <c r="AD63" s="507"/>
      <c r="AE63" s="507"/>
      <c r="AF63" s="507"/>
      <c r="AG63" s="507"/>
      <c r="AH63" s="507"/>
      <c r="AI63" s="507"/>
      <c r="AJ63" s="507"/>
      <c r="AK63" s="507"/>
      <c r="AL63" s="507"/>
      <c r="AM63" s="507"/>
      <c r="AN63" s="508"/>
      <c r="AO63" s="508"/>
      <c r="AP63" s="509"/>
      <c r="AQ63" s="507"/>
      <c r="AR63" s="507"/>
      <c r="AS63" s="507"/>
      <c r="AT63" s="507"/>
      <c r="AU63" s="507"/>
      <c r="AV63" s="507"/>
      <c r="AW63" s="507"/>
      <c r="AX63" s="507"/>
      <c r="AY63" s="507"/>
      <c r="AZ63" s="507"/>
      <c r="BA63" s="508"/>
      <c r="BB63" s="507"/>
      <c r="BC63" s="507"/>
      <c r="BD63" s="507"/>
      <c r="BE63" s="507"/>
      <c r="BF63" s="507"/>
      <c r="BG63" s="507"/>
      <c r="BH63" s="508"/>
      <c r="BI63" s="52"/>
      <c r="BJ63" s="52"/>
      <c r="BK63" s="52"/>
      <c r="BL63" s="52"/>
      <c r="BM63" s="52"/>
      <c r="BN63" s="52"/>
      <c r="BO63" s="52"/>
      <c r="BP63" s="52"/>
      <c r="BQ63" s="52"/>
      <c r="BR63" s="57"/>
      <c r="BS63" s="45"/>
      <c r="BT63" s="44">
        <f>SUM(C63:BR63)</f>
        <v>59.510000000000005</v>
      </c>
    </row>
    <row r="64" spans="1:72">
      <c r="A64" s="664" t="s">
        <v>249</v>
      </c>
      <c r="B64" s="507"/>
      <c r="C64" s="508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R64" s="507"/>
      <c r="S64" s="508"/>
      <c r="T64" s="508"/>
      <c r="U64" s="507"/>
      <c r="V64" s="507"/>
      <c r="W64" s="507"/>
      <c r="X64" s="507"/>
      <c r="Y64" s="507"/>
      <c r="Z64" s="507"/>
      <c r="AA64" s="507"/>
      <c r="AB64" s="507"/>
      <c r="AC64" s="507"/>
      <c r="AD64" s="507"/>
      <c r="AE64" s="507"/>
      <c r="AF64" s="507"/>
      <c r="AG64" s="507"/>
      <c r="AH64" s="507"/>
      <c r="AI64" s="507">
        <v>3.9</v>
      </c>
      <c r="AJ64" s="507"/>
      <c r="AK64" s="507"/>
      <c r="AL64" s="507"/>
      <c r="AM64" s="507"/>
      <c r="AN64" s="508"/>
      <c r="AO64" s="508"/>
      <c r="AP64" s="509"/>
      <c r="AQ64" s="507"/>
      <c r="AR64" s="507"/>
      <c r="AS64" s="507"/>
      <c r="AT64" s="327"/>
      <c r="AU64" s="327"/>
      <c r="AV64" s="327"/>
      <c r="AW64" s="327"/>
      <c r="AX64" s="327"/>
      <c r="AY64" s="327"/>
      <c r="AZ64" s="327"/>
      <c r="BA64" s="329"/>
      <c r="BB64" s="327"/>
      <c r="BC64" s="327"/>
      <c r="BD64" s="327"/>
      <c r="BE64" s="327"/>
      <c r="BF64" s="327"/>
      <c r="BG64" s="327"/>
      <c r="BH64" s="329"/>
      <c r="BI64" s="52"/>
      <c r="BJ64" s="52"/>
      <c r="BK64" s="52"/>
      <c r="BL64" s="52"/>
      <c r="BM64" s="52"/>
      <c r="BN64" s="52"/>
      <c r="BO64" s="52"/>
      <c r="BP64" s="52"/>
      <c r="BQ64" s="52"/>
      <c r="BR64" s="57"/>
      <c r="BS64" s="45"/>
      <c r="BT64" s="44">
        <f>SUM(C64:BR64)</f>
        <v>3.9</v>
      </c>
    </row>
    <row r="65" spans="1:72">
      <c r="A65" s="664" t="s">
        <v>278</v>
      </c>
      <c r="B65" s="507"/>
      <c r="C65" s="508"/>
      <c r="D65" s="507"/>
      <c r="E65" s="507"/>
      <c r="F65" s="507"/>
      <c r="G65" s="507"/>
      <c r="H65" s="507"/>
      <c r="I65" s="507"/>
      <c r="J65" s="507"/>
      <c r="K65" s="507"/>
      <c r="L65" s="507">
        <v>1.77</v>
      </c>
      <c r="M65" s="507"/>
      <c r="N65" s="507"/>
      <c r="O65" s="507"/>
      <c r="P65" s="507"/>
      <c r="Q65" s="507"/>
      <c r="R65" s="507"/>
      <c r="S65" s="508"/>
      <c r="T65" s="508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507"/>
      <c r="AF65" s="507"/>
      <c r="AG65" s="507"/>
      <c r="AH65" s="507"/>
      <c r="AI65" s="507"/>
      <c r="AJ65" s="507"/>
      <c r="AK65" s="507"/>
      <c r="AL65" s="507"/>
      <c r="AM65" s="507"/>
      <c r="AN65" s="508"/>
      <c r="AO65" s="508"/>
      <c r="AP65" s="509"/>
      <c r="AQ65" s="507"/>
      <c r="AR65" s="507"/>
      <c r="AS65" s="507"/>
      <c r="AT65" s="327"/>
      <c r="AU65" s="327"/>
      <c r="AV65" s="327"/>
      <c r="AW65" s="327"/>
      <c r="AX65" s="327"/>
      <c r="AY65" s="327"/>
      <c r="AZ65" s="327"/>
      <c r="BA65" s="329"/>
      <c r="BB65" s="327"/>
      <c r="BC65" s="327"/>
      <c r="BD65" s="327"/>
      <c r="BE65" s="327"/>
      <c r="BF65" s="327"/>
      <c r="BG65" s="327"/>
      <c r="BH65" s="329"/>
      <c r="BI65" s="52"/>
      <c r="BJ65" s="52"/>
      <c r="BK65" s="52"/>
      <c r="BL65" s="52"/>
      <c r="BM65" s="52"/>
      <c r="BN65" s="52"/>
      <c r="BO65" s="52"/>
      <c r="BP65" s="52"/>
      <c r="BQ65" s="52"/>
      <c r="BR65" s="57"/>
      <c r="BS65" s="45"/>
      <c r="BT65" s="44">
        <f t="shared" ref="BT65:BT73" si="26">SUM(C65:BR65)</f>
        <v>1.77</v>
      </c>
    </row>
    <row r="66" spans="1:72">
      <c r="A66" s="664"/>
      <c r="B66" s="507"/>
      <c r="C66" s="508"/>
      <c r="D66" s="507"/>
      <c r="E66" s="507"/>
      <c r="F66" s="507"/>
      <c r="G66" s="507"/>
      <c r="H66" s="507"/>
      <c r="I66" s="507"/>
      <c r="J66" s="507"/>
      <c r="K66" s="507"/>
      <c r="L66" s="507"/>
      <c r="M66" s="507"/>
      <c r="N66" s="507"/>
      <c r="O66" s="507"/>
      <c r="P66" s="507"/>
      <c r="Q66" s="507"/>
      <c r="R66" s="507"/>
      <c r="S66" s="508"/>
      <c r="T66" s="508"/>
      <c r="U66" s="507"/>
      <c r="V66" s="507"/>
      <c r="W66" s="507"/>
      <c r="X66" s="507"/>
      <c r="Y66" s="507"/>
      <c r="Z66" s="507"/>
      <c r="AA66" s="507"/>
      <c r="AB66" s="507"/>
      <c r="AC66" s="507"/>
      <c r="AD66" s="507"/>
      <c r="AE66" s="507"/>
      <c r="AF66" s="507"/>
      <c r="AG66" s="507"/>
      <c r="AH66" s="507"/>
      <c r="AI66" s="507"/>
      <c r="AJ66" s="507"/>
      <c r="AK66" s="507"/>
      <c r="AL66" s="507"/>
      <c r="AM66" s="507"/>
      <c r="AN66" s="508"/>
      <c r="AO66" s="508"/>
      <c r="AP66" s="509"/>
      <c r="AQ66" s="507"/>
      <c r="AR66" s="507"/>
      <c r="AS66" s="507"/>
      <c r="AT66" s="327"/>
      <c r="AU66" s="327"/>
      <c r="AV66" s="327"/>
      <c r="AW66" s="327"/>
      <c r="AX66" s="327"/>
      <c r="AY66" s="327"/>
      <c r="AZ66" s="327"/>
      <c r="BA66" s="329"/>
      <c r="BB66" s="327"/>
      <c r="BC66" s="327"/>
      <c r="BD66" s="327"/>
      <c r="BE66" s="327"/>
      <c r="BF66" s="327"/>
      <c r="BG66" s="327"/>
      <c r="BH66" s="329"/>
      <c r="BI66" s="52"/>
      <c r="BJ66" s="52"/>
      <c r="BK66" s="52"/>
      <c r="BL66" s="52"/>
      <c r="BM66" s="52"/>
      <c r="BN66" s="52"/>
      <c r="BO66" s="52"/>
      <c r="BP66" s="52"/>
      <c r="BQ66" s="52"/>
      <c r="BR66" s="57"/>
      <c r="BS66" s="45"/>
      <c r="BT66" s="44">
        <f t="shared" ref="BT66" si="27">SUM(C66:BR66)</f>
        <v>0</v>
      </c>
    </row>
    <row r="67" spans="1:72" hidden="1">
      <c r="A67" s="664"/>
      <c r="B67" s="507"/>
      <c r="C67" s="508"/>
      <c r="D67" s="507"/>
      <c r="E67" s="507"/>
      <c r="F67" s="507"/>
      <c r="G67" s="507"/>
      <c r="H67" s="507"/>
      <c r="I67" s="507"/>
      <c r="J67" s="507"/>
      <c r="K67" s="507"/>
      <c r="L67" s="507"/>
      <c r="M67" s="507"/>
      <c r="N67" s="507"/>
      <c r="O67" s="507"/>
      <c r="P67" s="507"/>
      <c r="Q67" s="507"/>
      <c r="R67" s="507"/>
      <c r="S67" s="508"/>
      <c r="T67" s="508"/>
      <c r="U67" s="507"/>
      <c r="V67" s="507"/>
      <c r="W67" s="507"/>
      <c r="X67" s="507"/>
      <c r="Y67" s="507"/>
      <c r="Z67" s="507"/>
      <c r="AA67" s="507"/>
      <c r="AB67" s="507"/>
      <c r="AC67" s="507"/>
      <c r="AD67" s="507"/>
      <c r="AE67" s="507"/>
      <c r="AF67" s="507"/>
      <c r="AG67" s="507"/>
      <c r="AH67" s="507"/>
      <c r="AI67" s="507"/>
      <c r="AJ67" s="507"/>
      <c r="AK67" s="507"/>
      <c r="AL67" s="507"/>
      <c r="AM67" s="507"/>
      <c r="AN67" s="508"/>
      <c r="AO67" s="508"/>
      <c r="AP67" s="509"/>
      <c r="AQ67" s="507"/>
      <c r="AR67" s="507"/>
      <c r="AS67" s="507"/>
      <c r="AT67" s="327"/>
      <c r="AU67" s="327"/>
      <c r="AV67" s="327"/>
      <c r="AW67" s="327"/>
      <c r="AX67" s="327"/>
      <c r="AY67" s="327"/>
      <c r="AZ67" s="327"/>
      <c r="BA67" s="329"/>
      <c r="BB67" s="327"/>
      <c r="BC67" s="327"/>
      <c r="BD67" s="327"/>
      <c r="BE67" s="327"/>
      <c r="BF67" s="327"/>
      <c r="BG67" s="327"/>
      <c r="BH67" s="329"/>
      <c r="BI67" s="52"/>
      <c r="BJ67" s="52"/>
      <c r="BK67" s="52"/>
      <c r="BL67" s="52"/>
      <c r="BM67" s="52"/>
      <c r="BN67" s="52"/>
      <c r="BO67" s="52"/>
      <c r="BP67" s="52"/>
      <c r="BQ67" s="52"/>
      <c r="BR67" s="57"/>
      <c r="BS67" s="45"/>
      <c r="BT67" s="44">
        <f>SUM(C67:BR67)</f>
        <v>0</v>
      </c>
    </row>
    <row r="68" spans="1:72" hidden="1">
      <c r="A68" s="664"/>
      <c r="B68" s="507"/>
      <c r="C68" s="508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N68" s="507"/>
      <c r="O68" s="507"/>
      <c r="P68" s="507"/>
      <c r="Q68" s="507"/>
      <c r="R68" s="507"/>
      <c r="S68" s="508"/>
      <c r="T68" s="508"/>
      <c r="U68" s="507"/>
      <c r="V68" s="507"/>
      <c r="W68" s="507"/>
      <c r="X68" s="507"/>
      <c r="Y68" s="507"/>
      <c r="Z68" s="507"/>
      <c r="AA68" s="507"/>
      <c r="AB68" s="507"/>
      <c r="AC68" s="507"/>
      <c r="AD68" s="507"/>
      <c r="AE68" s="507"/>
      <c r="AF68" s="507"/>
      <c r="AG68" s="507"/>
      <c r="AH68" s="507"/>
      <c r="AI68" s="507"/>
      <c r="AJ68" s="507"/>
      <c r="AK68" s="507"/>
      <c r="AL68" s="507"/>
      <c r="AM68" s="507"/>
      <c r="AN68" s="508"/>
      <c r="AO68" s="508"/>
      <c r="AP68" s="509"/>
      <c r="AQ68" s="507"/>
      <c r="AR68" s="507"/>
      <c r="AS68" s="507"/>
      <c r="AT68" s="327"/>
      <c r="AU68" s="327"/>
      <c r="AV68" s="327"/>
      <c r="AW68" s="327"/>
      <c r="AX68" s="327"/>
      <c r="AY68" s="327"/>
      <c r="AZ68" s="327"/>
      <c r="BA68" s="329"/>
      <c r="BB68" s="327"/>
      <c r="BC68" s="327"/>
      <c r="BD68" s="327"/>
      <c r="BE68" s="327"/>
      <c r="BF68" s="327"/>
      <c r="BG68" s="327"/>
      <c r="BH68" s="329"/>
      <c r="BI68" s="52"/>
      <c r="BJ68" s="52"/>
      <c r="BK68" s="52"/>
      <c r="BL68" s="52"/>
      <c r="BM68" s="52"/>
      <c r="BN68" s="52"/>
      <c r="BO68" s="52"/>
      <c r="BP68" s="52"/>
      <c r="BQ68" s="52"/>
      <c r="BR68" s="57"/>
      <c r="BS68" s="45"/>
      <c r="BT68" s="44">
        <f t="shared" si="26"/>
        <v>0</v>
      </c>
    </row>
    <row r="69" spans="1:72" hidden="1">
      <c r="A69" s="664"/>
      <c r="B69" s="507"/>
      <c r="C69" s="508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N69" s="507"/>
      <c r="O69" s="507"/>
      <c r="P69" s="507"/>
      <c r="Q69" s="507"/>
      <c r="R69" s="507"/>
      <c r="S69" s="508"/>
      <c r="T69" s="508"/>
      <c r="U69" s="507"/>
      <c r="V69" s="507"/>
      <c r="W69" s="507"/>
      <c r="X69" s="507"/>
      <c r="Y69" s="507"/>
      <c r="Z69" s="507"/>
      <c r="AA69" s="507"/>
      <c r="AB69" s="507"/>
      <c r="AC69" s="507"/>
      <c r="AD69" s="507"/>
      <c r="AE69" s="507"/>
      <c r="AF69" s="507"/>
      <c r="AG69" s="507"/>
      <c r="AH69" s="507"/>
      <c r="AI69" s="507"/>
      <c r="AJ69" s="507"/>
      <c r="AK69" s="507"/>
      <c r="AL69" s="507"/>
      <c r="AM69" s="507"/>
      <c r="AN69" s="508"/>
      <c r="AO69" s="508"/>
      <c r="AP69" s="509"/>
      <c r="AQ69" s="507"/>
      <c r="AR69" s="507"/>
      <c r="AS69" s="507"/>
      <c r="AT69" s="327"/>
      <c r="AU69" s="327"/>
      <c r="AV69" s="327"/>
      <c r="AW69" s="327"/>
      <c r="AX69" s="327"/>
      <c r="AY69" s="327"/>
      <c r="AZ69" s="327"/>
      <c r="BA69" s="329"/>
      <c r="BB69" s="327"/>
      <c r="BC69" s="327"/>
      <c r="BD69" s="327"/>
      <c r="BE69" s="327"/>
      <c r="BF69" s="327"/>
      <c r="BG69" s="327"/>
      <c r="BH69" s="329"/>
      <c r="BI69" s="52"/>
      <c r="BJ69" s="52"/>
      <c r="BK69" s="52"/>
      <c r="BL69" s="52"/>
      <c r="BM69" s="52"/>
      <c r="BN69" s="52"/>
      <c r="BO69" s="52"/>
      <c r="BP69" s="52"/>
      <c r="BQ69" s="52"/>
      <c r="BR69" s="57"/>
      <c r="BS69" s="45"/>
      <c r="BT69" s="44">
        <f t="shared" si="26"/>
        <v>0</v>
      </c>
    </row>
    <row r="70" spans="1:72" hidden="1">
      <c r="A70" s="664"/>
      <c r="B70" s="507"/>
      <c r="C70" s="508"/>
      <c r="D70" s="507"/>
      <c r="E70" s="507"/>
      <c r="F70" s="507"/>
      <c r="G70" s="507"/>
      <c r="H70" s="507"/>
      <c r="I70" s="507"/>
      <c r="J70" s="507"/>
      <c r="K70" s="507"/>
      <c r="L70" s="507"/>
      <c r="M70" s="507"/>
      <c r="N70" s="507"/>
      <c r="O70" s="507"/>
      <c r="P70" s="507"/>
      <c r="Q70" s="507"/>
      <c r="R70" s="507"/>
      <c r="S70" s="508"/>
      <c r="T70" s="508"/>
      <c r="U70" s="507"/>
      <c r="V70" s="507"/>
      <c r="W70" s="507"/>
      <c r="X70" s="507"/>
      <c r="Y70" s="507"/>
      <c r="Z70" s="507"/>
      <c r="AA70" s="507"/>
      <c r="AB70" s="507"/>
      <c r="AC70" s="507"/>
      <c r="AD70" s="507"/>
      <c r="AE70" s="507"/>
      <c r="AF70" s="507"/>
      <c r="AG70" s="507"/>
      <c r="AH70" s="507"/>
      <c r="AI70" s="507"/>
      <c r="AJ70" s="507"/>
      <c r="AK70" s="507"/>
      <c r="AL70" s="507"/>
      <c r="AM70" s="507"/>
      <c r="AN70" s="508"/>
      <c r="AO70" s="508"/>
      <c r="AP70" s="509"/>
      <c r="AQ70" s="507"/>
      <c r="AR70" s="507"/>
      <c r="AS70" s="507"/>
      <c r="AT70" s="327"/>
      <c r="AU70" s="327"/>
      <c r="AV70" s="327"/>
      <c r="AW70" s="327"/>
      <c r="AX70" s="327"/>
      <c r="AY70" s="327"/>
      <c r="AZ70" s="327"/>
      <c r="BA70" s="329"/>
      <c r="BB70" s="327"/>
      <c r="BC70" s="327"/>
      <c r="BD70" s="327"/>
      <c r="BE70" s="327"/>
      <c r="BF70" s="327"/>
      <c r="BG70" s="327"/>
      <c r="BH70" s="329"/>
      <c r="BI70" s="52"/>
      <c r="BJ70" s="52"/>
      <c r="BK70" s="52"/>
      <c r="BL70" s="52"/>
      <c r="BM70" s="52"/>
      <c r="BN70" s="52"/>
      <c r="BO70" s="52"/>
      <c r="BP70" s="52"/>
      <c r="BQ70" s="52"/>
      <c r="BR70" s="57"/>
      <c r="BS70" s="45"/>
      <c r="BT70" s="44">
        <f>SUM(C70:BR70)</f>
        <v>0</v>
      </c>
    </row>
    <row r="71" spans="1:72" hidden="1">
      <c r="A71" s="333"/>
      <c r="B71" s="334"/>
      <c r="C71" s="336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36"/>
      <c r="T71" s="336"/>
      <c r="U71" s="334"/>
      <c r="V71" s="334"/>
      <c r="W71" s="334"/>
      <c r="X71" s="334"/>
      <c r="Y71" s="334"/>
      <c r="Z71" s="334"/>
      <c r="AA71" s="334"/>
      <c r="AB71" s="334"/>
      <c r="AC71" s="334"/>
      <c r="AD71" s="334"/>
      <c r="AE71" s="334"/>
      <c r="AF71" s="334"/>
      <c r="AG71" s="334"/>
      <c r="AH71" s="334"/>
      <c r="AI71" s="334"/>
      <c r="AJ71" s="334"/>
      <c r="AK71" s="334"/>
      <c r="AL71" s="334"/>
      <c r="AM71" s="334"/>
      <c r="AN71" s="336"/>
      <c r="AO71" s="336"/>
      <c r="AP71" s="335"/>
      <c r="AQ71" s="334"/>
      <c r="AR71" s="334"/>
      <c r="AS71" s="334"/>
      <c r="AT71" s="507"/>
      <c r="AU71" s="507"/>
      <c r="AV71" s="507"/>
      <c r="AW71" s="507"/>
      <c r="AX71" s="507"/>
      <c r="AY71" s="507"/>
      <c r="AZ71" s="507"/>
      <c r="BA71" s="508"/>
      <c r="BB71" s="507"/>
      <c r="BC71" s="507"/>
      <c r="BD71" s="507"/>
      <c r="BE71" s="507"/>
      <c r="BF71" s="507"/>
      <c r="BG71" s="507"/>
      <c r="BH71" s="508"/>
      <c r="BI71" s="52"/>
      <c r="BJ71" s="52"/>
      <c r="BK71" s="52"/>
      <c r="BL71" s="52"/>
      <c r="BM71" s="52"/>
      <c r="BN71" s="52"/>
      <c r="BO71" s="52"/>
      <c r="BP71" s="52"/>
      <c r="BQ71" s="52"/>
      <c r="BR71" s="57"/>
      <c r="BS71" s="45"/>
      <c r="BT71" s="44">
        <f t="shared" si="26"/>
        <v>0</v>
      </c>
    </row>
    <row r="72" spans="1:72" hidden="1">
      <c r="A72" s="506"/>
      <c r="B72" s="507"/>
      <c r="C72" s="508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N72" s="507"/>
      <c r="O72" s="507"/>
      <c r="P72" s="507"/>
      <c r="Q72" s="507"/>
      <c r="R72" s="507"/>
      <c r="S72" s="508"/>
      <c r="T72" s="508"/>
      <c r="U72" s="507"/>
      <c r="V72" s="507"/>
      <c r="W72" s="507"/>
      <c r="X72" s="507"/>
      <c r="Y72" s="507"/>
      <c r="Z72" s="507"/>
      <c r="AA72" s="507"/>
      <c r="AB72" s="507"/>
      <c r="AC72" s="507"/>
      <c r="AD72" s="507"/>
      <c r="AE72" s="507"/>
      <c r="AF72" s="507"/>
      <c r="AG72" s="507"/>
      <c r="AH72" s="507"/>
      <c r="AI72" s="507"/>
      <c r="AJ72" s="507"/>
      <c r="AK72" s="507"/>
      <c r="AL72" s="507"/>
      <c r="AM72" s="507"/>
      <c r="AN72" s="508"/>
      <c r="AO72" s="508"/>
      <c r="AP72" s="509"/>
      <c r="AQ72" s="507"/>
      <c r="AR72" s="507"/>
      <c r="AS72" s="507"/>
      <c r="AT72" s="507"/>
      <c r="AU72" s="507"/>
      <c r="AV72" s="507"/>
      <c r="AW72" s="507"/>
      <c r="AX72" s="507"/>
      <c r="AY72" s="507"/>
      <c r="AZ72" s="507"/>
      <c r="BA72" s="508"/>
      <c r="BB72" s="507"/>
      <c r="BC72" s="507"/>
      <c r="BD72" s="507"/>
      <c r="BE72" s="507"/>
      <c r="BF72" s="507"/>
      <c r="BG72" s="507"/>
      <c r="BH72" s="508"/>
      <c r="BI72" s="52"/>
      <c r="BJ72" s="52"/>
      <c r="BK72" s="52"/>
      <c r="BL72" s="52"/>
      <c r="BM72" s="52"/>
      <c r="BN72" s="52"/>
      <c r="BO72" s="52"/>
      <c r="BP72" s="52"/>
      <c r="BQ72" s="52"/>
      <c r="BR72" s="57"/>
      <c r="BS72" s="45"/>
      <c r="BT72" s="44">
        <f t="shared" si="26"/>
        <v>0</v>
      </c>
    </row>
    <row r="73" spans="1:72" ht="7.5" thickBot="1">
      <c r="A73" s="506"/>
      <c r="B73" s="507"/>
      <c r="C73" s="508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507"/>
      <c r="O73" s="507"/>
      <c r="P73" s="507"/>
      <c r="Q73" s="507"/>
      <c r="R73" s="507"/>
      <c r="S73" s="508"/>
      <c r="T73" s="508"/>
      <c r="U73" s="507"/>
      <c r="V73" s="507"/>
      <c r="W73" s="507"/>
      <c r="X73" s="507"/>
      <c r="Y73" s="507"/>
      <c r="Z73" s="507"/>
      <c r="AA73" s="507"/>
      <c r="AB73" s="507"/>
      <c r="AC73" s="507"/>
      <c r="AD73" s="507"/>
      <c r="AE73" s="507"/>
      <c r="AF73" s="507"/>
      <c r="AG73" s="507"/>
      <c r="AH73" s="507"/>
      <c r="AI73" s="507"/>
      <c r="AJ73" s="507"/>
      <c r="AK73" s="507"/>
      <c r="AL73" s="507"/>
      <c r="AM73" s="507"/>
      <c r="AN73" s="508"/>
      <c r="AO73" s="508"/>
      <c r="AP73" s="509"/>
      <c r="AQ73" s="507"/>
      <c r="AR73" s="507"/>
      <c r="AS73" s="507"/>
      <c r="AT73" s="507"/>
      <c r="AU73" s="507"/>
      <c r="AV73" s="507"/>
      <c r="AW73" s="507"/>
      <c r="AX73" s="507"/>
      <c r="AY73" s="507"/>
      <c r="AZ73" s="507"/>
      <c r="BA73" s="508"/>
      <c r="BB73" s="507"/>
      <c r="BC73" s="507"/>
      <c r="BD73" s="507"/>
      <c r="BE73" s="507"/>
      <c r="BF73" s="507"/>
      <c r="BG73" s="507"/>
      <c r="BH73" s="508"/>
      <c r="BI73" s="52"/>
      <c r="BJ73" s="52"/>
      <c r="BK73" s="52"/>
      <c r="BL73" s="52"/>
      <c r="BM73" s="52"/>
      <c r="BN73" s="52"/>
      <c r="BO73" s="52"/>
      <c r="BP73" s="52"/>
      <c r="BQ73" s="52"/>
      <c r="BR73" s="57"/>
      <c r="BS73" s="45"/>
      <c r="BT73" s="44">
        <f t="shared" si="26"/>
        <v>0</v>
      </c>
    </row>
    <row r="74" spans="1:72" hidden="1">
      <c r="A74" s="506"/>
      <c r="B74" s="507"/>
      <c r="C74" s="508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507"/>
      <c r="O74" s="507"/>
      <c r="P74" s="507"/>
      <c r="Q74" s="507"/>
      <c r="R74" s="507"/>
      <c r="S74" s="508"/>
      <c r="T74" s="508"/>
      <c r="U74" s="507"/>
      <c r="V74" s="507"/>
      <c r="W74" s="507"/>
      <c r="X74" s="507"/>
      <c r="Y74" s="507"/>
      <c r="Z74" s="507"/>
      <c r="AA74" s="507"/>
      <c r="AB74" s="507"/>
      <c r="AC74" s="507"/>
      <c r="AD74" s="507"/>
      <c r="AE74" s="507"/>
      <c r="AF74" s="507"/>
      <c r="AG74" s="507"/>
      <c r="AH74" s="507"/>
      <c r="AI74" s="507"/>
      <c r="AJ74" s="507"/>
      <c r="AK74" s="507"/>
      <c r="AL74" s="507"/>
      <c r="AM74" s="507"/>
      <c r="AN74" s="508"/>
      <c r="AO74" s="508"/>
      <c r="AP74" s="509"/>
      <c r="AQ74" s="507"/>
      <c r="AR74" s="507"/>
      <c r="AS74" s="507"/>
      <c r="AT74" s="507"/>
      <c r="AU74" s="507"/>
      <c r="AV74" s="507"/>
      <c r="AW74" s="507"/>
      <c r="AX74" s="507"/>
      <c r="AY74" s="507"/>
      <c r="AZ74" s="507"/>
      <c r="BA74" s="508"/>
      <c r="BB74" s="507"/>
      <c r="BC74" s="507"/>
      <c r="BD74" s="507"/>
      <c r="BE74" s="507"/>
      <c r="BF74" s="507"/>
      <c r="BG74" s="507"/>
      <c r="BH74" s="508"/>
      <c r="BI74" s="52"/>
      <c r="BJ74" s="52"/>
      <c r="BK74" s="52"/>
      <c r="BL74" s="52"/>
      <c r="BM74" s="52"/>
      <c r="BN74" s="52"/>
      <c r="BO74" s="52"/>
      <c r="BP74" s="52"/>
      <c r="BQ74" s="52"/>
      <c r="BR74" s="57"/>
      <c r="BS74" s="45"/>
      <c r="BT74" s="44">
        <f t="shared" ref="BT74:BT81" si="28">SUM(C74:BR74)</f>
        <v>0</v>
      </c>
    </row>
    <row r="75" spans="1:72" hidden="1">
      <c r="A75" s="506"/>
      <c r="B75" s="507"/>
      <c r="C75" s="508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N75" s="507"/>
      <c r="O75" s="507"/>
      <c r="P75" s="507"/>
      <c r="Q75" s="507"/>
      <c r="R75" s="507"/>
      <c r="S75" s="508"/>
      <c r="T75" s="508"/>
      <c r="U75" s="507"/>
      <c r="V75" s="507"/>
      <c r="W75" s="507"/>
      <c r="X75" s="507"/>
      <c r="Y75" s="507"/>
      <c r="Z75" s="507"/>
      <c r="AA75" s="507"/>
      <c r="AB75" s="507"/>
      <c r="AC75" s="507"/>
      <c r="AD75" s="507"/>
      <c r="AE75" s="507"/>
      <c r="AF75" s="507"/>
      <c r="AG75" s="507"/>
      <c r="AH75" s="507"/>
      <c r="AI75" s="507"/>
      <c r="AJ75" s="507"/>
      <c r="AK75" s="507"/>
      <c r="AL75" s="507"/>
      <c r="AM75" s="507"/>
      <c r="AN75" s="508"/>
      <c r="AO75" s="508"/>
      <c r="AP75" s="509"/>
      <c r="AQ75" s="507"/>
      <c r="AR75" s="507"/>
      <c r="AS75" s="507"/>
      <c r="AT75" s="507"/>
      <c r="AU75" s="507"/>
      <c r="AV75" s="507"/>
      <c r="AW75" s="507"/>
      <c r="AX75" s="507"/>
      <c r="AY75" s="507"/>
      <c r="AZ75" s="507"/>
      <c r="BA75" s="508"/>
      <c r="BB75" s="507"/>
      <c r="BC75" s="507"/>
      <c r="BD75" s="507"/>
      <c r="BE75" s="507"/>
      <c r="BF75" s="507"/>
      <c r="BG75" s="507"/>
      <c r="BH75" s="508"/>
      <c r="BI75" s="52"/>
      <c r="BJ75" s="52"/>
      <c r="BK75" s="52"/>
      <c r="BL75" s="52"/>
      <c r="BM75" s="52"/>
      <c r="BN75" s="52"/>
      <c r="BO75" s="52"/>
      <c r="BP75" s="52"/>
      <c r="BQ75" s="52"/>
      <c r="BR75" s="57"/>
      <c r="BS75" s="45"/>
      <c r="BT75" s="44">
        <f t="shared" si="28"/>
        <v>0</v>
      </c>
    </row>
    <row r="76" spans="1:72" hidden="1">
      <c r="A76" s="333"/>
      <c r="B76" s="334"/>
      <c r="C76" s="336"/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4"/>
      <c r="S76" s="336"/>
      <c r="T76" s="336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M76" s="334"/>
      <c r="AN76" s="336"/>
      <c r="AO76" s="336"/>
      <c r="AP76" s="335"/>
      <c r="AQ76" s="334"/>
      <c r="AR76" s="334"/>
      <c r="AS76" s="334"/>
      <c r="AT76" s="334"/>
      <c r="AU76" s="334"/>
      <c r="AV76" s="334"/>
      <c r="AW76" s="334"/>
      <c r="AX76" s="334"/>
      <c r="AY76" s="334"/>
      <c r="AZ76" s="334"/>
      <c r="BA76" s="336"/>
      <c r="BB76" s="334"/>
      <c r="BC76" s="334"/>
      <c r="BD76" s="334"/>
      <c r="BE76" s="334"/>
      <c r="BF76" s="334"/>
      <c r="BG76" s="334"/>
      <c r="BH76" s="336"/>
      <c r="BI76" s="52"/>
      <c r="BJ76" s="52"/>
      <c r="BK76" s="52"/>
      <c r="BL76" s="52"/>
      <c r="BM76" s="52"/>
      <c r="BN76" s="52"/>
      <c r="BO76" s="52"/>
      <c r="BP76" s="52"/>
      <c r="BQ76" s="52"/>
      <c r="BR76" s="57"/>
      <c r="BS76" s="45"/>
      <c r="BT76" s="44">
        <f t="shared" si="28"/>
        <v>0</v>
      </c>
    </row>
    <row r="77" spans="1:72" hidden="1">
      <c r="A77" s="506"/>
      <c r="B77" s="507"/>
      <c r="C77" s="508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507"/>
      <c r="O77" s="507"/>
      <c r="P77" s="507"/>
      <c r="Q77" s="507"/>
      <c r="R77" s="507"/>
      <c r="S77" s="508"/>
      <c r="T77" s="508"/>
      <c r="U77" s="507"/>
      <c r="V77" s="507"/>
      <c r="W77" s="507"/>
      <c r="X77" s="507"/>
      <c r="Y77" s="507"/>
      <c r="Z77" s="507"/>
      <c r="AA77" s="507"/>
      <c r="AB77" s="507"/>
      <c r="AC77" s="507"/>
      <c r="AD77" s="507"/>
      <c r="AE77" s="507"/>
      <c r="AF77" s="507"/>
      <c r="AG77" s="507"/>
      <c r="AH77" s="507"/>
      <c r="AI77" s="507"/>
      <c r="AJ77" s="507"/>
      <c r="AK77" s="507"/>
      <c r="AL77" s="507"/>
      <c r="AM77" s="507"/>
      <c r="AN77" s="508"/>
      <c r="AO77" s="508"/>
      <c r="AP77" s="509"/>
      <c r="AQ77" s="507"/>
      <c r="AR77" s="507"/>
      <c r="AS77" s="507"/>
      <c r="AT77" s="507"/>
      <c r="AU77" s="507"/>
      <c r="AV77" s="507"/>
      <c r="AW77" s="507"/>
      <c r="AX77" s="507"/>
      <c r="AY77" s="507"/>
      <c r="AZ77" s="507"/>
      <c r="BA77" s="508"/>
      <c r="BB77" s="507"/>
      <c r="BC77" s="507"/>
      <c r="BD77" s="507"/>
      <c r="BE77" s="507"/>
      <c r="BF77" s="507"/>
      <c r="BG77" s="507"/>
      <c r="BH77" s="508"/>
      <c r="BI77" s="52"/>
      <c r="BJ77" s="52"/>
      <c r="BK77" s="52"/>
      <c r="BL77" s="52"/>
      <c r="BM77" s="52"/>
      <c r="BN77" s="52"/>
      <c r="BO77" s="52"/>
      <c r="BP77" s="52"/>
      <c r="BQ77" s="52"/>
      <c r="BR77" s="57"/>
      <c r="BS77" s="45"/>
      <c r="BT77" s="44">
        <f t="shared" si="28"/>
        <v>0</v>
      </c>
    </row>
    <row r="78" spans="1:72" hidden="1">
      <c r="A78" s="506"/>
      <c r="B78" s="507"/>
      <c r="C78" s="508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507"/>
      <c r="O78" s="507"/>
      <c r="P78" s="507"/>
      <c r="Q78" s="507"/>
      <c r="R78" s="507"/>
      <c r="S78" s="508"/>
      <c r="T78" s="508"/>
      <c r="U78" s="507"/>
      <c r="V78" s="507"/>
      <c r="W78" s="507"/>
      <c r="X78" s="507"/>
      <c r="Y78" s="507"/>
      <c r="Z78" s="507"/>
      <c r="AA78" s="507"/>
      <c r="AB78" s="507"/>
      <c r="AC78" s="507"/>
      <c r="AD78" s="507"/>
      <c r="AE78" s="507"/>
      <c r="AF78" s="507"/>
      <c r="AG78" s="507"/>
      <c r="AH78" s="507"/>
      <c r="AI78" s="507"/>
      <c r="AJ78" s="507"/>
      <c r="AK78" s="507"/>
      <c r="AL78" s="507"/>
      <c r="AM78" s="507"/>
      <c r="AN78" s="508"/>
      <c r="AO78" s="508"/>
      <c r="AP78" s="509"/>
      <c r="AQ78" s="507"/>
      <c r="AR78" s="507"/>
      <c r="AS78" s="507"/>
      <c r="AT78" s="507"/>
      <c r="AU78" s="507"/>
      <c r="AV78" s="507"/>
      <c r="AW78" s="507"/>
      <c r="AX78" s="507"/>
      <c r="AY78" s="507"/>
      <c r="AZ78" s="507"/>
      <c r="BA78" s="508"/>
      <c r="BB78" s="507"/>
      <c r="BC78" s="507"/>
      <c r="BD78" s="507"/>
      <c r="BE78" s="507"/>
      <c r="BF78" s="507"/>
      <c r="BG78" s="507"/>
      <c r="BH78" s="508"/>
      <c r="BI78" s="52"/>
      <c r="BJ78" s="52"/>
      <c r="BK78" s="52"/>
      <c r="BL78" s="52"/>
      <c r="BM78" s="52"/>
      <c r="BN78" s="52"/>
      <c r="BO78" s="52"/>
      <c r="BP78" s="52"/>
      <c r="BQ78" s="52"/>
      <c r="BR78" s="57"/>
      <c r="BS78" s="45"/>
      <c r="BT78" s="44">
        <f t="shared" si="28"/>
        <v>0</v>
      </c>
    </row>
    <row r="79" spans="1:72" hidden="1">
      <c r="A79" s="506"/>
      <c r="B79" s="507"/>
      <c r="C79" s="508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507"/>
      <c r="O79" s="507"/>
      <c r="P79" s="507"/>
      <c r="Q79" s="507"/>
      <c r="R79" s="507"/>
      <c r="S79" s="508"/>
      <c r="T79" s="508"/>
      <c r="U79" s="507"/>
      <c r="V79" s="507"/>
      <c r="W79" s="507"/>
      <c r="X79" s="507"/>
      <c r="Y79" s="507"/>
      <c r="Z79" s="507"/>
      <c r="AA79" s="507"/>
      <c r="AB79" s="507"/>
      <c r="AC79" s="507"/>
      <c r="AD79" s="507"/>
      <c r="AE79" s="507"/>
      <c r="AF79" s="507"/>
      <c r="AG79" s="507"/>
      <c r="AH79" s="507"/>
      <c r="AI79" s="507"/>
      <c r="AJ79" s="507"/>
      <c r="AK79" s="507"/>
      <c r="AL79" s="507"/>
      <c r="AM79" s="507"/>
      <c r="AN79" s="508"/>
      <c r="AO79" s="508"/>
      <c r="AP79" s="509"/>
      <c r="AQ79" s="507"/>
      <c r="AR79" s="507"/>
      <c r="AS79" s="507"/>
      <c r="AT79" s="507"/>
      <c r="AU79" s="507"/>
      <c r="AV79" s="507"/>
      <c r="AW79" s="507"/>
      <c r="AX79" s="507"/>
      <c r="AY79" s="507"/>
      <c r="AZ79" s="507"/>
      <c r="BA79" s="508"/>
      <c r="BB79" s="507"/>
      <c r="BC79" s="507"/>
      <c r="BD79" s="507"/>
      <c r="BE79" s="507"/>
      <c r="BF79" s="507"/>
      <c r="BG79" s="507"/>
      <c r="BH79" s="508"/>
      <c r="BI79" s="52"/>
      <c r="BJ79" s="52"/>
      <c r="BK79" s="52"/>
      <c r="BL79" s="52"/>
      <c r="BM79" s="52"/>
      <c r="BN79" s="52"/>
      <c r="BO79" s="52"/>
      <c r="BP79" s="52"/>
      <c r="BQ79" s="52"/>
      <c r="BR79" s="57"/>
      <c r="BS79" s="45"/>
      <c r="BT79" s="44">
        <f t="shared" si="28"/>
        <v>0</v>
      </c>
    </row>
    <row r="80" spans="1:72" hidden="1">
      <c r="A80" s="506"/>
      <c r="B80" s="507"/>
      <c r="C80" s="508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507"/>
      <c r="O80" s="507"/>
      <c r="P80" s="507"/>
      <c r="Q80" s="507"/>
      <c r="R80" s="507"/>
      <c r="S80" s="508"/>
      <c r="T80" s="508"/>
      <c r="U80" s="507"/>
      <c r="V80" s="507"/>
      <c r="W80" s="507"/>
      <c r="X80" s="507"/>
      <c r="Y80" s="507"/>
      <c r="Z80" s="507"/>
      <c r="AA80" s="507"/>
      <c r="AB80" s="507"/>
      <c r="AC80" s="507"/>
      <c r="AD80" s="507"/>
      <c r="AE80" s="507"/>
      <c r="AF80" s="507"/>
      <c r="AG80" s="507"/>
      <c r="AH80" s="507"/>
      <c r="AI80" s="507"/>
      <c r="AJ80" s="507"/>
      <c r="AK80" s="507"/>
      <c r="AL80" s="507"/>
      <c r="AM80" s="507"/>
      <c r="AN80" s="508"/>
      <c r="AO80" s="508"/>
      <c r="AP80" s="509"/>
      <c r="AQ80" s="507"/>
      <c r="AR80" s="507"/>
      <c r="AS80" s="507"/>
      <c r="AT80" s="507"/>
      <c r="AU80" s="507"/>
      <c r="AV80" s="507"/>
      <c r="AW80" s="507"/>
      <c r="AX80" s="507"/>
      <c r="AY80" s="507"/>
      <c r="AZ80" s="507"/>
      <c r="BA80" s="508"/>
      <c r="BB80" s="507"/>
      <c r="BC80" s="507"/>
      <c r="BD80" s="507"/>
      <c r="BE80" s="507"/>
      <c r="BF80" s="507"/>
      <c r="BG80" s="507"/>
      <c r="BH80" s="508"/>
      <c r="BI80" s="52"/>
      <c r="BJ80" s="52"/>
      <c r="BK80" s="52"/>
      <c r="BL80" s="52"/>
      <c r="BM80" s="52"/>
      <c r="BN80" s="52"/>
      <c r="BO80" s="52"/>
      <c r="BP80" s="52"/>
      <c r="BQ80" s="52"/>
      <c r="BR80" s="57"/>
      <c r="BS80" s="45"/>
      <c r="BT80" s="44">
        <f t="shared" si="28"/>
        <v>0</v>
      </c>
    </row>
    <row r="81" spans="1:72" ht="7.5" hidden="1" thickBot="1">
      <c r="A81" s="333"/>
      <c r="B81" s="334"/>
      <c r="C81" s="336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  <c r="Q81" s="334"/>
      <c r="R81" s="334"/>
      <c r="S81" s="336"/>
      <c r="T81" s="336"/>
      <c r="U81" s="334"/>
      <c r="V81" s="334"/>
      <c r="W81" s="334"/>
      <c r="X81" s="334"/>
      <c r="Y81" s="334"/>
      <c r="Z81" s="334"/>
      <c r="AA81" s="334"/>
      <c r="AB81" s="334"/>
      <c r="AC81" s="334"/>
      <c r="AD81" s="334"/>
      <c r="AE81" s="334"/>
      <c r="AF81" s="334"/>
      <c r="AG81" s="334"/>
      <c r="AH81" s="334"/>
      <c r="AI81" s="334"/>
      <c r="AJ81" s="334"/>
      <c r="AK81" s="334"/>
      <c r="AL81" s="334"/>
      <c r="AM81" s="334"/>
      <c r="AN81" s="336"/>
      <c r="AO81" s="336"/>
      <c r="AP81" s="335"/>
      <c r="AQ81" s="334"/>
      <c r="AR81" s="334"/>
      <c r="AS81" s="334"/>
      <c r="AT81" s="334"/>
      <c r="AU81" s="334"/>
      <c r="AV81" s="334"/>
      <c r="AW81" s="334"/>
      <c r="AX81" s="334"/>
      <c r="AY81" s="334"/>
      <c r="AZ81" s="334"/>
      <c r="BA81" s="336"/>
      <c r="BB81" s="334"/>
      <c r="BC81" s="334"/>
      <c r="BD81" s="334"/>
      <c r="BE81" s="334"/>
      <c r="BF81" s="334"/>
      <c r="BG81" s="334"/>
      <c r="BH81" s="336"/>
      <c r="BI81" s="52"/>
      <c r="BJ81" s="52"/>
      <c r="BK81" s="52"/>
      <c r="BL81" s="52"/>
      <c r="BM81" s="52"/>
      <c r="BN81" s="52"/>
      <c r="BO81" s="52"/>
      <c r="BP81" s="52"/>
      <c r="BQ81" s="52"/>
      <c r="BR81" s="57"/>
      <c r="BS81" s="45"/>
      <c r="BT81" s="44">
        <f t="shared" si="28"/>
        <v>0</v>
      </c>
    </row>
    <row r="82" spans="1:72" ht="8" thickTop="1" thickBot="1">
      <c r="A82" s="115" t="s">
        <v>22</v>
      </c>
      <c r="B82" s="58">
        <f t="shared" ref="B82:AG82" si="29">SUM(B62:B81)</f>
        <v>0</v>
      </c>
      <c r="C82" s="82">
        <f t="shared" si="29"/>
        <v>0</v>
      </c>
      <c r="D82" s="58">
        <f t="shared" si="29"/>
        <v>0</v>
      </c>
      <c r="E82" s="58">
        <f t="shared" si="29"/>
        <v>0</v>
      </c>
      <c r="F82" s="58">
        <f t="shared" si="29"/>
        <v>0</v>
      </c>
      <c r="G82" s="58">
        <f t="shared" si="29"/>
        <v>5.99</v>
      </c>
      <c r="H82" s="58">
        <f t="shared" si="29"/>
        <v>0</v>
      </c>
      <c r="I82" s="58">
        <f t="shared" si="29"/>
        <v>0</v>
      </c>
      <c r="J82" s="58">
        <f t="shared" si="29"/>
        <v>59.510000000000005</v>
      </c>
      <c r="K82" s="58">
        <f t="shared" si="29"/>
        <v>0</v>
      </c>
      <c r="L82" s="58">
        <f t="shared" si="29"/>
        <v>1.77</v>
      </c>
      <c r="M82" s="58">
        <f t="shared" si="29"/>
        <v>0</v>
      </c>
      <c r="N82" s="58">
        <f t="shared" si="29"/>
        <v>0</v>
      </c>
      <c r="O82" s="58">
        <f t="shared" si="29"/>
        <v>0</v>
      </c>
      <c r="P82" s="58">
        <f t="shared" si="29"/>
        <v>0</v>
      </c>
      <c r="Q82" s="58">
        <f t="shared" si="29"/>
        <v>0</v>
      </c>
      <c r="R82" s="58">
        <f t="shared" si="29"/>
        <v>0</v>
      </c>
      <c r="S82" s="82">
        <f t="shared" si="29"/>
        <v>0</v>
      </c>
      <c r="T82" s="82">
        <f t="shared" si="29"/>
        <v>0</v>
      </c>
      <c r="U82" s="58">
        <f t="shared" si="29"/>
        <v>0</v>
      </c>
      <c r="V82" s="58">
        <f t="shared" si="29"/>
        <v>0</v>
      </c>
      <c r="W82" s="58">
        <f t="shared" si="29"/>
        <v>0</v>
      </c>
      <c r="X82" s="58">
        <f t="shared" si="29"/>
        <v>0</v>
      </c>
      <c r="Y82" s="58">
        <f t="shared" si="29"/>
        <v>0</v>
      </c>
      <c r="Z82" s="58">
        <f t="shared" si="29"/>
        <v>0</v>
      </c>
      <c r="AA82" s="58">
        <f t="shared" si="29"/>
        <v>0</v>
      </c>
      <c r="AB82" s="58">
        <f t="shared" si="29"/>
        <v>0</v>
      </c>
      <c r="AC82" s="58">
        <f t="shared" si="29"/>
        <v>0</v>
      </c>
      <c r="AD82" s="58">
        <f t="shared" si="29"/>
        <v>0</v>
      </c>
      <c r="AE82" s="58">
        <f t="shared" si="29"/>
        <v>0</v>
      </c>
      <c r="AF82" s="58">
        <f t="shared" si="29"/>
        <v>0</v>
      </c>
      <c r="AG82" s="58">
        <f t="shared" si="29"/>
        <v>0</v>
      </c>
      <c r="AH82" s="58">
        <f t="shared" ref="AH82:BM82" si="30">SUM(AH62:AH81)</f>
        <v>0</v>
      </c>
      <c r="AI82" s="58">
        <f t="shared" si="30"/>
        <v>3.9</v>
      </c>
      <c r="AJ82" s="58">
        <f t="shared" si="30"/>
        <v>0</v>
      </c>
      <c r="AK82" s="58">
        <f t="shared" si="30"/>
        <v>0</v>
      </c>
      <c r="AL82" s="58">
        <f t="shared" si="30"/>
        <v>0</v>
      </c>
      <c r="AM82" s="58">
        <f t="shared" si="30"/>
        <v>0</v>
      </c>
      <c r="AN82" s="82">
        <f t="shared" si="30"/>
        <v>0</v>
      </c>
      <c r="AO82" s="82">
        <f t="shared" si="30"/>
        <v>0</v>
      </c>
      <c r="AP82" s="112">
        <f t="shared" si="30"/>
        <v>0</v>
      </c>
      <c r="AQ82" s="58">
        <f t="shared" si="30"/>
        <v>0</v>
      </c>
      <c r="AR82" s="58">
        <f t="shared" si="30"/>
        <v>0</v>
      </c>
      <c r="AS82" s="58">
        <f t="shared" si="30"/>
        <v>0</v>
      </c>
      <c r="AT82" s="58">
        <f t="shared" si="30"/>
        <v>0</v>
      </c>
      <c r="AU82" s="58">
        <f t="shared" si="30"/>
        <v>0</v>
      </c>
      <c r="AV82" s="58">
        <f t="shared" si="30"/>
        <v>0</v>
      </c>
      <c r="AW82" s="58">
        <f t="shared" si="30"/>
        <v>0</v>
      </c>
      <c r="AX82" s="58">
        <f t="shared" si="30"/>
        <v>0</v>
      </c>
      <c r="AY82" s="58">
        <f t="shared" si="30"/>
        <v>0</v>
      </c>
      <c r="AZ82" s="58">
        <f t="shared" si="30"/>
        <v>0</v>
      </c>
      <c r="BA82" s="58">
        <f t="shared" si="30"/>
        <v>0</v>
      </c>
      <c r="BB82" s="58">
        <f t="shared" si="30"/>
        <v>0</v>
      </c>
      <c r="BC82" s="58">
        <f t="shared" si="30"/>
        <v>0</v>
      </c>
      <c r="BD82" s="58">
        <f t="shared" si="30"/>
        <v>0</v>
      </c>
      <c r="BE82" s="58">
        <f t="shared" si="30"/>
        <v>0</v>
      </c>
      <c r="BF82" s="58">
        <f t="shared" si="30"/>
        <v>0</v>
      </c>
      <c r="BG82" s="58">
        <f t="shared" si="30"/>
        <v>0</v>
      </c>
      <c r="BH82" s="58">
        <f t="shared" si="30"/>
        <v>0</v>
      </c>
      <c r="BI82" s="58">
        <f t="shared" si="30"/>
        <v>0</v>
      </c>
      <c r="BJ82" s="58">
        <f t="shared" si="30"/>
        <v>0</v>
      </c>
      <c r="BK82" s="58">
        <f t="shared" si="30"/>
        <v>0</v>
      </c>
      <c r="BL82" s="58">
        <f t="shared" si="30"/>
        <v>0</v>
      </c>
      <c r="BM82" s="58">
        <f t="shared" si="30"/>
        <v>0</v>
      </c>
      <c r="BN82" s="58">
        <f>SUM(BN62:BN81)</f>
        <v>0</v>
      </c>
      <c r="BO82" s="58">
        <f>SUM(BO62:BO81)</f>
        <v>0</v>
      </c>
      <c r="BP82" s="58">
        <f>SUM(BP62:BP81)</f>
        <v>0</v>
      </c>
      <c r="BQ82" s="58">
        <f>SUM(BQ62:BQ81)</f>
        <v>0</v>
      </c>
      <c r="BR82" s="118">
        <f>SUM(BR62:BR81)</f>
        <v>0</v>
      </c>
      <c r="BS82" s="45"/>
      <c r="BT82" s="252">
        <f>SUM(B82:BR82)</f>
        <v>71.17</v>
      </c>
    </row>
    <row r="83" spans="1:72" ht="7.5" thickTop="1">
      <c r="A83" s="11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1"/>
      <c r="BT83" s="1"/>
    </row>
    <row r="85" spans="1:72">
      <c r="B85" s="117" t="str">
        <f t="shared" ref="B85:AG85" si="31">IF(B41++B48+ B59+B82=0,"HIDE","")</f>
        <v>HIDE</v>
      </c>
      <c r="C85" s="117" t="str">
        <f t="shared" si="31"/>
        <v>HIDE</v>
      </c>
      <c r="D85" s="117" t="str">
        <f t="shared" si="31"/>
        <v>HIDE</v>
      </c>
      <c r="E85" s="117" t="str">
        <f t="shared" si="31"/>
        <v/>
      </c>
      <c r="F85" s="117" t="str">
        <f t="shared" si="31"/>
        <v>HIDE</v>
      </c>
      <c r="G85" s="117" t="str">
        <f t="shared" si="31"/>
        <v/>
      </c>
      <c r="H85" s="117" t="str">
        <f t="shared" si="31"/>
        <v>HIDE</v>
      </c>
      <c r="I85" s="117" t="str">
        <f t="shared" si="31"/>
        <v>HIDE</v>
      </c>
      <c r="J85" s="117" t="str">
        <f t="shared" si="31"/>
        <v/>
      </c>
      <c r="K85" s="117" t="str">
        <f t="shared" si="31"/>
        <v/>
      </c>
      <c r="L85" s="117" t="str">
        <f t="shared" si="31"/>
        <v/>
      </c>
      <c r="M85" s="117" t="str">
        <f t="shared" si="31"/>
        <v/>
      </c>
      <c r="N85" s="117" t="str">
        <f t="shared" si="31"/>
        <v>HIDE</v>
      </c>
      <c r="O85" s="117" t="str">
        <f t="shared" si="31"/>
        <v>HIDE</v>
      </c>
      <c r="P85" s="117" t="str">
        <f t="shared" si="31"/>
        <v>HIDE</v>
      </c>
      <c r="Q85" s="117" t="str">
        <f t="shared" si="31"/>
        <v>HIDE</v>
      </c>
      <c r="R85" s="117" t="str">
        <f t="shared" si="31"/>
        <v>HIDE</v>
      </c>
      <c r="S85" s="117" t="str">
        <f t="shared" si="31"/>
        <v>HIDE</v>
      </c>
      <c r="T85" s="117" t="str">
        <f t="shared" si="31"/>
        <v>HIDE</v>
      </c>
      <c r="U85" s="117" t="str">
        <f t="shared" si="31"/>
        <v>HIDE</v>
      </c>
      <c r="V85" s="117" t="str">
        <f t="shared" si="31"/>
        <v/>
      </c>
      <c r="W85" s="117" t="str">
        <f t="shared" si="31"/>
        <v>HIDE</v>
      </c>
      <c r="X85" s="117" t="str">
        <f t="shared" si="31"/>
        <v>HIDE</v>
      </c>
      <c r="Y85" s="117" t="str">
        <f t="shared" si="31"/>
        <v/>
      </c>
      <c r="Z85" s="117" t="str">
        <f t="shared" si="31"/>
        <v>HIDE</v>
      </c>
      <c r="AA85" s="117" t="str">
        <f t="shared" si="31"/>
        <v>HIDE</v>
      </c>
      <c r="AB85" s="117" t="str">
        <f t="shared" si="31"/>
        <v>HIDE</v>
      </c>
      <c r="AC85" s="117" t="str">
        <f t="shared" si="31"/>
        <v>HIDE</v>
      </c>
      <c r="AD85" s="117" t="str">
        <f t="shared" si="31"/>
        <v>HIDE</v>
      </c>
      <c r="AE85" s="117" t="str">
        <f t="shared" si="31"/>
        <v/>
      </c>
      <c r="AF85" s="117" t="str">
        <f t="shared" si="31"/>
        <v>HIDE</v>
      </c>
      <c r="AG85" s="117" t="str">
        <f t="shared" si="31"/>
        <v>HIDE</v>
      </c>
      <c r="AH85" s="117" t="str">
        <f t="shared" ref="AH85:BQ85" si="32">IF(AH41++AH48+ AH59+AH82=0,"HIDE","")</f>
        <v>HIDE</v>
      </c>
      <c r="AI85" s="117" t="str">
        <f t="shared" si="32"/>
        <v/>
      </c>
      <c r="AJ85" s="117" t="str">
        <f t="shared" si="32"/>
        <v>HIDE</v>
      </c>
      <c r="AK85" s="117" t="str">
        <f t="shared" si="32"/>
        <v>HIDE</v>
      </c>
      <c r="AL85" s="117" t="str">
        <f t="shared" si="32"/>
        <v>HIDE</v>
      </c>
      <c r="AM85" s="117" t="str">
        <f t="shared" si="32"/>
        <v>HIDE</v>
      </c>
      <c r="AN85" s="117" t="str">
        <f t="shared" si="32"/>
        <v>HIDE</v>
      </c>
      <c r="AO85" s="117" t="str">
        <f t="shared" si="32"/>
        <v>HIDE</v>
      </c>
      <c r="AP85" s="117" t="str">
        <f t="shared" si="32"/>
        <v>HIDE</v>
      </c>
      <c r="AQ85" s="117" t="str">
        <f t="shared" si="32"/>
        <v>HIDE</v>
      </c>
      <c r="AR85" s="117" t="str">
        <f t="shared" si="32"/>
        <v>HIDE</v>
      </c>
      <c r="AS85" s="117" t="str">
        <f t="shared" si="32"/>
        <v>HIDE</v>
      </c>
      <c r="AT85" s="117" t="str">
        <f t="shared" si="32"/>
        <v>HIDE</v>
      </c>
      <c r="AU85" s="117" t="str">
        <f t="shared" si="32"/>
        <v>HIDE</v>
      </c>
      <c r="AV85" s="117" t="str">
        <f t="shared" si="32"/>
        <v>HIDE</v>
      </c>
      <c r="AW85" s="117" t="str">
        <f t="shared" si="32"/>
        <v>HIDE</v>
      </c>
      <c r="AX85" s="117" t="str">
        <f t="shared" si="32"/>
        <v>HIDE</v>
      </c>
      <c r="AY85" s="117" t="str">
        <f t="shared" si="32"/>
        <v>HIDE</v>
      </c>
      <c r="AZ85" s="117" t="str">
        <f t="shared" si="32"/>
        <v>HIDE</v>
      </c>
      <c r="BA85" s="117" t="str">
        <f t="shared" si="32"/>
        <v>HIDE</v>
      </c>
      <c r="BB85" s="117" t="str">
        <f t="shared" si="32"/>
        <v>HIDE</v>
      </c>
      <c r="BC85" s="117" t="str">
        <f t="shared" si="32"/>
        <v>HIDE</v>
      </c>
      <c r="BD85" s="117" t="str">
        <f t="shared" si="32"/>
        <v>HIDE</v>
      </c>
      <c r="BE85" s="117" t="str">
        <f t="shared" si="32"/>
        <v>HIDE</v>
      </c>
      <c r="BF85" s="117" t="str">
        <f t="shared" si="32"/>
        <v>HIDE</v>
      </c>
      <c r="BG85" s="117" t="str">
        <f t="shared" si="32"/>
        <v>HIDE</v>
      </c>
      <c r="BH85" s="117" t="str">
        <f t="shared" si="32"/>
        <v>HIDE</v>
      </c>
      <c r="BI85" s="117" t="str">
        <f t="shared" si="32"/>
        <v>HIDE</v>
      </c>
      <c r="BJ85" s="117" t="str">
        <f t="shared" si="32"/>
        <v>HIDE</v>
      </c>
      <c r="BK85" s="117" t="str">
        <f t="shared" si="32"/>
        <v>HIDE</v>
      </c>
      <c r="BL85" s="117" t="str">
        <f t="shared" si="32"/>
        <v>HIDE</v>
      </c>
      <c r="BM85" s="117" t="str">
        <f t="shared" si="32"/>
        <v>HIDE</v>
      </c>
      <c r="BN85" s="117" t="str">
        <f t="shared" si="32"/>
        <v>HIDE</v>
      </c>
      <c r="BO85" s="117" t="str">
        <f t="shared" si="32"/>
        <v>HIDE</v>
      </c>
      <c r="BP85" s="117" t="str">
        <f t="shared" si="32"/>
        <v>HIDE</v>
      </c>
      <c r="BQ85" s="117" t="str">
        <f t="shared" si="32"/>
        <v>HIDE</v>
      </c>
      <c r="BR85" s="117"/>
    </row>
    <row r="86" spans="1:72" ht="14">
      <c r="A86" s="192" t="s">
        <v>94</v>
      </c>
      <c r="B86" s="117" t="s">
        <v>95</v>
      </c>
      <c r="P86" s="117"/>
    </row>
  </sheetData>
  <phoneticPr fontId="9" type="noConversion"/>
  <pageMargins left="0.35433070866141736" right="0.35433070866141736" top="0.27559055118110237" bottom="0.27559055118110237" header="0" footer="0.27559055118110237"/>
  <pageSetup paperSize="9" orientation="landscape" verticalDpi="4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M91"/>
  <sheetViews>
    <sheetView showZeros="0" topLeftCell="A36" workbookViewId="0">
      <pane xSplit="1" topLeftCell="B1" activePane="topRight" state="frozen"/>
      <selection activeCell="R6" sqref="R6"/>
      <selection pane="topRight" activeCell="A54" sqref="A54"/>
    </sheetView>
  </sheetViews>
  <sheetFormatPr defaultColWidth="16" defaultRowHeight="7"/>
  <cols>
    <col min="1" max="1" width="56.5" style="1" customWidth="1"/>
    <col min="2" max="8" width="11" style="1" customWidth="1"/>
    <col min="9" max="9" width="11.33203125" style="1" customWidth="1"/>
    <col min="10" max="11" width="11" style="1" customWidth="1"/>
    <col min="12" max="16384" width="16" style="1"/>
  </cols>
  <sheetData>
    <row r="1" spans="1:169" ht="36" thickTop="1" thickBot="1">
      <c r="A1" s="189" t="str">
        <f>Summary!$A$2</f>
        <v>OLYMPIC 2022 FINAL ACCOUNTS</v>
      </c>
      <c r="J1" s="641" t="str">
        <f>Summary!$T$2</f>
        <v>21 February 2023</v>
      </c>
      <c r="L1" s="268">
        <f>SUM(L20:L32)</f>
        <v>0</v>
      </c>
    </row>
    <row r="2" spans="1:169" ht="23" thickTop="1">
      <c r="A2" s="705" t="s">
        <v>172</v>
      </c>
      <c r="B2" s="25"/>
      <c r="C2" s="25"/>
      <c r="D2" s="25"/>
      <c r="E2" s="25"/>
      <c r="F2" s="25"/>
      <c r="G2" s="25"/>
      <c r="H2" s="25"/>
      <c r="I2" s="25"/>
      <c r="J2" s="25"/>
    </row>
    <row r="3" spans="1:169" ht="22.5">
      <c r="A3" s="705" t="s">
        <v>191</v>
      </c>
      <c r="B3" s="25"/>
      <c r="C3" s="25"/>
      <c r="D3" s="25"/>
      <c r="E3" s="25"/>
      <c r="F3" s="25"/>
      <c r="G3" s="25"/>
      <c r="H3" s="25"/>
      <c r="I3" s="25"/>
      <c r="J3" s="25"/>
    </row>
    <row r="4" spans="1:169" ht="10.5" customHeight="1">
      <c r="A4" s="189"/>
      <c r="H4" s="190"/>
    </row>
    <row r="5" spans="1:169" ht="24" customHeight="1" thickBot="1">
      <c r="A5" s="129" t="str">
        <f>CONCATENATE(Summary!$B$1," INCOME - SUBSCRIPTIONS")</f>
        <v>2022 INCOME - SUBSCRIPTIONS</v>
      </c>
      <c r="B5" s="129"/>
    </row>
    <row r="6" spans="1:169" ht="8" thickTop="1" thickBot="1">
      <c r="A6" s="341"/>
      <c r="B6" s="432" t="s">
        <v>181</v>
      </c>
      <c r="C6" s="432" t="s">
        <v>105</v>
      </c>
      <c r="D6" s="432" t="s">
        <v>180</v>
      </c>
      <c r="E6" s="432" t="s">
        <v>104</v>
      </c>
      <c r="F6" s="432" t="s">
        <v>174</v>
      </c>
      <c r="G6" s="432" t="s">
        <v>179</v>
      </c>
      <c r="H6" s="432" t="s">
        <v>177</v>
      </c>
      <c r="I6" s="432" t="s">
        <v>178</v>
      </c>
      <c r="J6" s="266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</row>
    <row r="7" spans="1:169" s="59" customFormat="1" ht="7.5" thickTop="1">
      <c r="A7" s="340" t="s">
        <v>131</v>
      </c>
      <c r="B7" s="344">
        <v>44600</v>
      </c>
      <c r="C7" s="344">
        <v>44600</v>
      </c>
      <c r="D7" s="344">
        <v>44600</v>
      </c>
      <c r="E7" s="344">
        <v>44600</v>
      </c>
      <c r="F7" s="344">
        <v>44656</v>
      </c>
      <c r="G7" s="344">
        <v>44601</v>
      </c>
      <c r="H7" s="344">
        <v>44600</v>
      </c>
      <c r="I7" s="344">
        <v>44601</v>
      </c>
      <c r="J7" s="266"/>
    </row>
    <row r="8" spans="1:169" s="59" customFormat="1">
      <c r="A8" s="496" t="s">
        <v>153</v>
      </c>
      <c r="B8" s="337">
        <v>500</v>
      </c>
      <c r="C8" s="337">
        <v>500</v>
      </c>
      <c r="D8" s="337">
        <v>500</v>
      </c>
      <c r="E8" s="337">
        <v>500</v>
      </c>
      <c r="F8" s="337">
        <v>250</v>
      </c>
      <c r="G8" s="337">
        <v>500</v>
      </c>
      <c r="H8" s="337">
        <v>500</v>
      </c>
      <c r="I8" s="337">
        <v>500</v>
      </c>
      <c r="J8" s="497"/>
    </row>
    <row r="9" spans="1:169" s="59" customFormat="1">
      <c r="A9" s="423"/>
      <c r="B9" s="337"/>
      <c r="C9" s="337"/>
      <c r="D9" s="337"/>
      <c r="E9" s="337"/>
      <c r="F9" s="337"/>
      <c r="G9" s="337"/>
      <c r="H9" s="337"/>
      <c r="I9" s="337"/>
      <c r="J9" s="266"/>
    </row>
    <row r="10" spans="1:169" s="44" customFormat="1" ht="7.5" thickBot="1">
      <c r="A10" s="339" t="s">
        <v>152</v>
      </c>
      <c r="B10" s="495">
        <f t="shared" ref="B10:I10" si="0">SUM(B8:B9)</f>
        <v>500</v>
      </c>
      <c r="C10" s="495">
        <f t="shared" si="0"/>
        <v>500</v>
      </c>
      <c r="D10" s="495">
        <f t="shared" si="0"/>
        <v>500</v>
      </c>
      <c r="E10" s="495">
        <f t="shared" si="0"/>
        <v>500</v>
      </c>
      <c r="F10" s="495">
        <f t="shared" si="0"/>
        <v>250</v>
      </c>
      <c r="G10" s="495">
        <f t="shared" si="0"/>
        <v>500</v>
      </c>
      <c r="H10" s="495">
        <f t="shared" si="0"/>
        <v>500</v>
      </c>
      <c r="I10" s="495">
        <f t="shared" si="0"/>
        <v>500</v>
      </c>
      <c r="J10" s="412"/>
    </row>
    <row r="11" spans="1:169" s="179" customFormat="1" ht="8" thickTop="1" thickBot="1">
      <c r="A11" s="87" t="s">
        <v>133</v>
      </c>
      <c r="B11" s="314" t="s">
        <v>183</v>
      </c>
      <c r="C11" s="314" t="s">
        <v>183</v>
      </c>
      <c r="D11" s="314" t="s">
        <v>183</v>
      </c>
      <c r="E11" s="314" t="s">
        <v>183</v>
      </c>
      <c r="F11" s="314" t="s">
        <v>183</v>
      </c>
      <c r="G11" s="314" t="s">
        <v>183</v>
      </c>
      <c r="H11" s="314" t="s">
        <v>183</v>
      </c>
      <c r="I11" s="314" t="s">
        <v>183</v>
      </c>
      <c r="J11" s="260"/>
      <c r="M11" s="44"/>
    </row>
    <row r="12" spans="1:169" s="238" customFormat="1" ht="7.5" hidden="1" thickTop="1">
      <c r="B12" s="249">
        <f t="shared" ref="B12:J12" si="1">IF(B11="post bal.",B10,0)</f>
        <v>0</v>
      </c>
      <c r="C12" s="249">
        <f t="shared" si="1"/>
        <v>0</v>
      </c>
      <c r="D12" s="249">
        <f t="shared" si="1"/>
        <v>0</v>
      </c>
      <c r="E12" s="249">
        <f t="shared" si="1"/>
        <v>0</v>
      </c>
      <c r="F12" s="249">
        <f t="shared" si="1"/>
        <v>0</v>
      </c>
      <c r="G12" s="249">
        <f t="shared" si="1"/>
        <v>0</v>
      </c>
      <c r="H12" s="249">
        <f t="shared" si="1"/>
        <v>0</v>
      </c>
      <c r="I12" s="249">
        <f t="shared" si="1"/>
        <v>0</v>
      </c>
      <c r="J12" s="249">
        <f t="shared" si="1"/>
        <v>0</v>
      </c>
    </row>
    <row r="13" spans="1:169" ht="8" thickTop="1" thickBot="1">
      <c r="B13" s="1" t="str">
        <f t="shared" ref="B13:I13" si="2">IF(B12=0,"","post bal.")</f>
        <v/>
      </c>
      <c r="C13" s="1" t="str">
        <f t="shared" si="2"/>
        <v/>
      </c>
      <c r="D13" s="1" t="str">
        <f t="shared" si="2"/>
        <v/>
      </c>
      <c r="E13" s="1" t="str">
        <f t="shared" si="2"/>
        <v/>
      </c>
      <c r="F13" s="1" t="str">
        <f t="shared" si="2"/>
        <v/>
      </c>
      <c r="G13" s="10" t="str">
        <f t="shared" si="2"/>
        <v/>
      </c>
      <c r="H13" s="10" t="str">
        <f t="shared" si="2"/>
        <v/>
      </c>
      <c r="I13" s="10" t="str">
        <f t="shared" si="2"/>
        <v/>
      </c>
      <c r="J13" s="10"/>
      <c r="K13" s="10"/>
    </row>
    <row r="14" spans="1:169" ht="8" thickTop="1" thickBot="1">
      <c r="A14" s="341"/>
      <c r="B14" s="432" t="s">
        <v>175</v>
      </c>
      <c r="C14" s="432" t="s">
        <v>176</v>
      </c>
      <c r="D14" s="432" t="s">
        <v>176</v>
      </c>
      <c r="E14" s="432"/>
      <c r="F14" s="435"/>
      <c r="G14" s="431"/>
      <c r="H14" s="432"/>
      <c r="I14" s="436"/>
      <c r="J14" s="10"/>
      <c r="K14" s="12" t="s">
        <v>65</v>
      </c>
    </row>
    <row r="15" spans="1:169" ht="7.5" thickTop="1">
      <c r="A15" s="340" t="s">
        <v>131</v>
      </c>
      <c r="B15" s="344">
        <v>44613</v>
      </c>
      <c r="C15" s="344" t="s">
        <v>192</v>
      </c>
      <c r="D15" s="433"/>
      <c r="E15" s="433"/>
      <c r="F15" s="433"/>
      <c r="G15" s="433"/>
      <c r="H15" s="433"/>
      <c r="I15" s="434"/>
      <c r="J15" s="10"/>
      <c r="K15" s="247" t="s">
        <v>14</v>
      </c>
    </row>
    <row r="16" spans="1:169">
      <c r="A16" s="339" t="s">
        <v>153</v>
      </c>
      <c r="B16" s="337">
        <v>250</v>
      </c>
      <c r="C16" s="337">
        <v>50</v>
      </c>
      <c r="D16" s="337"/>
      <c r="E16" s="337"/>
      <c r="F16" s="337"/>
      <c r="G16" s="337"/>
      <c r="H16" s="337"/>
      <c r="I16" s="430"/>
      <c r="J16" s="10"/>
      <c r="K16" s="53">
        <f>SUM(B8:J8,B16:J16)</f>
        <v>4050</v>
      </c>
    </row>
    <row r="17" spans="1:107" ht="7.5" thickBot="1">
      <c r="A17" s="423"/>
      <c r="B17" s="337"/>
      <c r="C17" s="337"/>
      <c r="D17" s="337"/>
      <c r="E17" s="337"/>
      <c r="F17" s="337"/>
      <c r="G17" s="337"/>
      <c r="H17" s="337"/>
      <c r="I17" s="430"/>
      <c r="J17" s="10"/>
      <c r="K17" s="424">
        <f>SUM(B9:J9,B17:J17)</f>
        <v>0</v>
      </c>
    </row>
    <row r="18" spans="1:107" ht="8" thickTop="1" thickBot="1">
      <c r="A18" s="339" t="s">
        <v>152</v>
      </c>
      <c r="B18" s="636">
        <f t="shared" ref="B18:I18" si="3">SUM(B16:B17)</f>
        <v>250</v>
      </c>
      <c r="C18" s="636">
        <f t="shared" si="3"/>
        <v>50</v>
      </c>
      <c r="D18" s="636">
        <f t="shared" si="3"/>
        <v>0</v>
      </c>
      <c r="E18" s="636">
        <f t="shared" si="3"/>
        <v>0</v>
      </c>
      <c r="F18" s="636">
        <f t="shared" si="3"/>
        <v>0</v>
      </c>
      <c r="G18" s="636">
        <f t="shared" si="3"/>
        <v>0</v>
      </c>
      <c r="H18" s="636">
        <f t="shared" si="3"/>
        <v>0</v>
      </c>
      <c r="I18" s="637">
        <f t="shared" si="3"/>
        <v>0</v>
      </c>
      <c r="J18" s="10"/>
      <c r="K18" s="248">
        <f>SUM(B10:J10,B18:J18)</f>
        <v>4050</v>
      </c>
    </row>
    <row r="19" spans="1:107" ht="8" thickTop="1" thickBot="1">
      <c r="A19" s="87" t="s">
        <v>133</v>
      </c>
      <c r="B19" s="314" t="s">
        <v>183</v>
      </c>
      <c r="C19" s="314" t="s">
        <v>82</v>
      </c>
      <c r="D19" s="314" t="str">
        <f t="shared" ref="D19:I19" si="4">IF(D18=0,"","post bal.")</f>
        <v/>
      </c>
      <c r="E19" s="314" t="str">
        <f t="shared" si="4"/>
        <v/>
      </c>
      <c r="F19" s="314" t="str">
        <f t="shared" si="4"/>
        <v/>
      </c>
      <c r="G19" s="314" t="str">
        <f t="shared" si="4"/>
        <v/>
      </c>
      <c r="H19" s="314" t="str">
        <f t="shared" si="4"/>
        <v/>
      </c>
      <c r="I19" s="314" t="str">
        <f t="shared" si="4"/>
        <v/>
      </c>
      <c r="J19" s="10"/>
      <c r="K19" s="207"/>
    </row>
    <row r="20" spans="1:107" s="690" customFormat="1" ht="8" hidden="1" thickTop="1" thickBot="1">
      <c r="B20" s="691">
        <f t="shared" ref="B20:J20" si="5">IF(B19="post bal.",B18,0)</f>
        <v>0</v>
      </c>
      <c r="C20" s="691">
        <f t="shared" si="5"/>
        <v>0</v>
      </c>
      <c r="D20" s="691">
        <f t="shared" si="5"/>
        <v>0</v>
      </c>
      <c r="E20" s="691">
        <f t="shared" si="5"/>
        <v>0</v>
      </c>
      <c r="F20" s="691">
        <f t="shared" si="5"/>
        <v>0</v>
      </c>
      <c r="G20" s="691">
        <f t="shared" si="5"/>
        <v>0</v>
      </c>
      <c r="H20" s="691">
        <f t="shared" si="5"/>
        <v>0</v>
      </c>
      <c r="I20" s="691">
        <f t="shared" si="5"/>
        <v>0</v>
      </c>
      <c r="J20" s="691">
        <f t="shared" si="5"/>
        <v>0</v>
      </c>
      <c r="K20" s="692">
        <f>SUM(B12:J12,B20:J20)</f>
        <v>0</v>
      </c>
    </row>
    <row r="21" spans="1:107" ht="7.5" thickTop="1"/>
    <row r="22" spans="1:107" ht="22.5">
      <c r="A22" s="642" t="str">
        <f>CONCATENATE("PROVISIONS FROM/TO ", Summary!$B$1-1,"TO BE PAID/RECEIVED IN ", Summary!$B$1)</f>
        <v>PROVISIONS FROM/TO 2021TO BE PAID/RECEIVED IN 2022</v>
      </c>
      <c r="B22" s="25"/>
      <c r="C22" s="25"/>
      <c r="D22" s="34"/>
      <c r="E22" s="25"/>
      <c r="F22" s="25"/>
      <c r="G22" s="25"/>
      <c r="H22" s="25"/>
      <c r="I22" s="25"/>
      <c r="J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</row>
    <row r="23" spans="1:107" hidden="1"/>
    <row r="25" spans="1:107" ht="11" thickBot="1">
      <c r="A25" s="815" t="str">
        <f>CONCATENATE("PAYMENTS COMMITTED &amp; NOT PAID IN ",Summary!$B$1-1,", PROVISIONED (FUNDS CARRIED FORWARD) TO BE PAID IN ",Summary!$B$1 )</f>
        <v>PAYMENTS COMMITTED &amp; NOT PAID IN 2021, PROVISIONED (FUNDS CARRIED FORWARD) TO BE PAID IN 2022</v>
      </c>
      <c r="B25" s="816" t="str">
        <f>CONCATENATE(" PAYMENTS COMMITTED BUT NOT INVOICED IN ",Summary!$B$1-1,", PROVISIONED (MONEY RECEIVED) FROM ",Summary!$B$1-1," TO BE PAID IN ",Summary!$B$1 )</f>
        <v xml:space="preserve"> PAYMENTS COMMITTED BUT NOT INVOICED IN 2021, PROVISIONED (MONEY RECEIVED) FROM 2021 TO BE PAID IN 2022</v>
      </c>
      <c r="C25" s="816" t="str">
        <f>CONCATENATE(" PAYMENTS COMMITTED BUT NOT INVOICED IN ",Summary!$B$1-1,", PROVISIONED (MONEY RECEIVED) FROM ",Summary!$B$1-1," TO BE PAID IN ",Summary!$B$1 )</f>
        <v xml:space="preserve"> PAYMENTS COMMITTED BUT NOT INVOICED IN 2021, PROVISIONED (MONEY RECEIVED) FROM 2021 TO BE PAID IN 2022</v>
      </c>
      <c r="D25" s="816" t="str">
        <f>CONCATENATE(" PAYMENTS COMMITTED BUT NOT INVOICED IN ",Summary!$B$1-1,", PROVISIONED (MONEY RECEIVED) FROM ",Summary!$B$1-1," TO BE PAID IN ",Summary!$B$1 )</f>
        <v xml:space="preserve"> PAYMENTS COMMITTED BUT NOT INVOICED IN 2021, PROVISIONED (MONEY RECEIVED) FROM 2021 TO BE PAID IN 2022</v>
      </c>
      <c r="E25" s="816"/>
      <c r="F25" s="816"/>
      <c r="G25" s="816"/>
      <c r="H25" s="816"/>
      <c r="I25" s="816"/>
    </row>
    <row r="26" spans="1:107" s="69" customFormat="1" ht="7.5" thickTop="1">
      <c r="A26" s="345" t="s">
        <v>132</v>
      </c>
      <c r="B26" s="454" t="s">
        <v>236</v>
      </c>
      <c r="C26" s="454"/>
      <c r="D26" s="349"/>
      <c r="E26" s="349"/>
      <c r="F26" s="429"/>
      <c r="G26" s="773" t="s">
        <v>273</v>
      </c>
      <c r="H26" s="157" t="s">
        <v>82</v>
      </c>
      <c r="I26" s="121" t="s">
        <v>171</v>
      </c>
    </row>
    <row r="27" spans="1:107" s="69" customFormat="1" ht="7.5" thickBot="1">
      <c r="A27" s="350" t="s">
        <v>131</v>
      </c>
      <c r="B27" s="351">
        <v>44700</v>
      </c>
      <c r="C27" s="367"/>
      <c r="D27" s="351"/>
      <c r="E27" s="351"/>
      <c r="F27" s="352"/>
      <c r="G27" s="685" t="s">
        <v>171</v>
      </c>
      <c r="H27" s="158" t="s">
        <v>171</v>
      </c>
      <c r="I27" s="775" t="s">
        <v>274</v>
      </c>
    </row>
    <row r="28" spans="1:107" s="69" customFormat="1" ht="7.5" thickTop="1">
      <c r="A28" s="499" t="s">
        <v>255</v>
      </c>
      <c r="B28" s="353">
        <v>75</v>
      </c>
      <c r="C28" s="366"/>
      <c r="D28" s="353"/>
      <c r="E28" s="353"/>
      <c r="F28" s="353"/>
      <c r="G28" s="354">
        <f>SUM(B28:F28)</f>
        <v>75</v>
      </c>
      <c r="H28" s="365">
        <v>75</v>
      </c>
      <c r="I28" s="355">
        <f>H28-SUM(B28:F28)</f>
        <v>0</v>
      </c>
    </row>
    <row r="29" spans="1:107" s="69" customFormat="1">
      <c r="A29" s="428"/>
      <c r="B29" s="330"/>
      <c r="C29" s="330"/>
      <c r="D29" s="330"/>
      <c r="E29" s="330"/>
      <c r="F29" s="330"/>
      <c r="G29" s="356">
        <f>SUM(B29:F29)</f>
        <v>0</v>
      </c>
      <c r="H29" s="356"/>
      <c r="I29" s="358">
        <f>H29-SUM(B29:F29)</f>
        <v>0</v>
      </c>
    </row>
    <row r="30" spans="1:107" s="69" customFormat="1">
      <c r="A30" s="359"/>
      <c r="B30" s="330"/>
      <c r="C30" s="330"/>
      <c r="D30" s="330"/>
      <c r="E30" s="330"/>
      <c r="F30" s="330"/>
      <c r="G30" s="356">
        <f>SUM(B30:F30)</f>
        <v>0</v>
      </c>
      <c r="H30" s="357"/>
      <c r="I30" s="358">
        <f>H30-SUM(B30:F30)</f>
        <v>0</v>
      </c>
    </row>
    <row r="31" spans="1:107" s="69" customFormat="1">
      <c r="A31" s="428"/>
      <c r="B31" s="330"/>
      <c r="C31" s="330"/>
      <c r="D31" s="330"/>
      <c r="E31" s="330"/>
      <c r="F31" s="330"/>
      <c r="G31" s="356">
        <f>SUM(B31:F31)</f>
        <v>0</v>
      </c>
      <c r="H31" s="357"/>
      <c r="I31" s="358">
        <f>H31-SUM(B31:F31)</f>
        <v>0</v>
      </c>
    </row>
    <row r="32" spans="1:107" s="179" customFormat="1">
      <c r="A32" s="360"/>
      <c r="B32" s="361"/>
      <c r="C32" s="361"/>
      <c r="D32" s="361"/>
      <c r="E32" s="361"/>
      <c r="F32" s="361"/>
      <c r="G32" s="362">
        <f>SUM(B32:F32)</f>
        <v>0</v>
      </c>
      <c r="H32" s="363"/>
      <c r="I32" s="364">
        <f>H32-SUM(B32:F32)</f>
        <v>0</v>
      </c>
      <c r="L32" s="69"/>
    </row>
    <row r="33" spans="1:12" s="678" customFormat="1" ht="11" thickBot="1">
      <c r="A33" s="673" t="s">
        <v>185</v>
      </c>
      <c r="B33" s="674">
        <f t="shared" ref="B33:I33" si="6">SUM(B28:B32)</f>
        <v>75</v>
      </c>
      <c r="C33" s="674">
        <f t="shared" si="6"/>
        <v>0</v>
      </c>
      <c r="D33" s="674">
        <f t="shared" si="6"/>
        <v>0</v>
      </c>
      <c r="E33" s="674">
        <f t="shared" si="6"/>
        <v>0</v>
      </c>
      <c r="F33" s="674">
        <f t="shared" si="6"/>
        <v>0</v>
      </c>
      <c r="G33" s="675">
        <f t="shared" si="6"/>
        <v>75</v>
      </c>
      <c r="H33" s="676">
        <f t="shared" si="6"/>
        <v>75</v>
      </c>
      <c r="I33" s="677">
        <f t="shared" si="6"/>
        <v>0</v>
      </c>
    </row>
    <row r="34" spans="1:12" ht="8" thickTop="1" thickBot="1">
      <c r="A34" s="663" t="s">
        <v>167</v>
      </c>
      <c r="B34" s="314" t="s">
        <v>183</v>
      </c>
      <c r="C34" s="314" t="str">
        <f>IF(C33=0,"","post bal.")</f>
        <v/>
      </c>
      <c r="D34" s="314" t="str">
        <f>IF(D33=0,"","post bal.")</f>
        <v/>
      </c>
      <c r="E34" s="314" t="str">
        <f>IF(E33=0,"","post bal.")</f>
        <v/>
      </c>
      <c r="F34" s="314" t="str">
        <f>IF(F33=0,"","post bal.")</f>
        <v/>
      </c>
      <c r="G34" s="185"/>
      <c r="H34" s="207"/>
      <c r="I34" s="207"/>
    </row>
    <row r="35" spans="1:12" s="166" customFormat="1" ht="7.5" hidden="1" thickTop="1">
      <c r="B35" s="689">
        <f>IF(B34="post bal.",B33,0)</f>
        <v>0</v>
      </c>
      <c r="C35" s="166">
        <f>IF(C34="posrbal",C33,0)</f>
        <v>0</v>
      </c>
      <c r="D35" s="166">
        <f>IF(D34="posrbal",D33,0)</f>
        <v>0</v>
      </c>
      <c r="E35" s="166">
        <f>IF(E34="posrbal",E33,0)</f>
        <v>0</v>
      </c>
      <c r="F35" s="166">
        <f>IF(F34="posrbal",F33,0)</f>
        <v>0</v>
      </c>
      <c r="K35" s="166">
        <f>SUM(B35:F35)</f>
        <v>0</v>
      </c>
    </row>
    <row r="36" spans="1:12" ht="7.5" thickTop="1"/>
    <row r="37" spans="1:12" ht="11" thickBot="1">
      <c r="A37" s="815" t="str">
        <f>CONCATENATE(" INCOME COMMITTED &amp; OVER-DUE IN ",Summary!$B$1-1,", PROVISIONED (SUM DUE CARRIED FORWARD) TO CLEAR IN ",Summary!$B$1)</f>
        <v xml:space="preserve"> INCOME COMMITTED &amp; OVER-DUE IN 2021, PROVISIONED (SUM DUE CARRIED FORWARD) TO CLEAR IN 2022</v>
      </c>
      <c r="B37" s="816" t="str">
        <f>CONCATENATE(" INCOME COMMITTED &amp; OVER-DUE IN ",Summary!$B$1-1,", PROVISIONED (RECEIVED) FROM ",Summary!$B$1-1," TO PAY IN ",Summary!$B$1)</f>
        <v xml:space="preserve"> INCOME COMMITTED &amp; OVER-DUE IN 2021, PROVISIONED (RECEIVED) FROM 2021 TO PAY IN 2022</v>
      </c>
      <c r="C37" s="816" t="str">
        <f>CONCATENATE(" INCOME COMMITTED &amp; OVER-DUE IN ",Summary!$B$1-1,", PROVISIONED (RECEIVED) FROM ",Summary!$B$1-1," TO PAY IN ",Summary!$B$1)</f>
        <v xml:space="preserve"> INCOME COMMITTED &amp; OVER-DUE IN 2021, PROVISIONED (RECEIVED) FROM 2021 TO PAY IN 2022</v>
      </c>
      <c r="D37" s="816" t="str">
        <f>CONCATENATE(" INCOME COMMITTED &amp; OVER-DUE IN ",Summary!$B$1-1,", PROVISIONED (RECEIVED) FROM ",Summary!$B$1-1," TO PAY IN ",Summary!$B$1)</f>
        <v xml:space="preserve"> INCOME COMMITTED &amp; OVER-DUE IN 2021, PROVISIONED (RECEIVED) FROM 2021 TO PAY IN 2022</v>
      </c>
      <c r="E37" s="816"/>
      <c r="F37" s="816"/>
      <c r="G37" s="816"/>
      <c r="H37" s="816"/>
      <c r="I37" s="816"/>
    </row>
    <row r="38" spans="1:12" s="69" customFormat="1" ht="7.5" thickTop="1">
      <c r="A38" s="345" t="s">
        <v>132</v>
      </c>
      <c r="B38" s="454"/>
      <c r="C38" s="454"/>
      <c r="D38" s="349"/>
      <c r="E38" s="349"/>
      <c r="F38" s="429"/>
      <c r="G38" s="773" t="s">
        <v>273</v>
      </c>
      <c r="H38" s="774" t="s">
        <v>82</v>
      </c>
      <c r="I38" s="748" t="s">
        <v>272</v>
      </c>
    </row>
    <row r="39" spans="1:12" s="69" customFormat="1" ht="7.5" thickBot="1">
      <c r="A39" s="350" t="s">
        <v>131</v>
      </c>
      <c r="B39" s="351"/>
      <c r="C39" s="367"/>
      <c r="D39" s="351"/>
      <c r="E39" s="351"/>
      <c r="F39" s="352"/>
      <c r="G39" s="685" t="s">
        <v>275</v>
      </c>
      <c r="H39" s="747" t="s">
        <v>272</v>
      </c>
      <c r="I39" s="775" t="s">
        <v>274</v>
      </c>
    </row>
    <row r="40" spans="1:12" s="69" customFormat="1" ht="7.5" thickTop="1">
      <c r="A40" s="499"/>
      <c r="B40" s="353"/>
      <c r="C40" s="366"/>
      <c r="D40" s="353"/>
      <c r="E40" s="353"/>
      <c r="F40" s="353"/>
      <c r="G40" s="354"/>
      <c r="H40" s="365"/>
      <c r="I40" s="355">
        <f>H40-SUM(B40:F40)</f>
        <v>0</v>
      </c>
    </row>
    <row r="41" spans="1:12" s="69" customFormat="1">
      <c r="A41" s="428"/>
      <c r="B41" s="330"/>
      <c r="C41" s="330"/>
      <c r="D41" s="330"/>
      <c r="E41" s="330"/>
      <c r="F41" s="330"/>
      <c r="G41" s="356">
        <f>SUM(B41:F41)</f>
        <v>0</v>
      </c>
      <c r="H41" s="357"/>
      <c r="I41" s="358">
        <f>H41-SUM(B41:F41)</f>
        <v>0</v>
      </c>
    </row>
    <row r="42" spans="1:12" s="69" customFormat="1">
      <c r="A42" s="359"/>
      <c r="B42" s="330"/>
      <c r="C42" s="330"/>
      <c r="D42" s="330"/>
      <c r="E42" s="330"/>
      <c r="F42" s="330"/>
      <c r="G42" s="356">
        <f>SUM(B42:F42)</f>
        <v>0</v>
      </c>
      <c r="H42" s="357"/>
      <c r="I42" s="358">
        <f>H42-SUM(B42:F42)</f>
        <v>0</v>
      </c>
    </row>
    <row r="43" spans="1:12" s="69" customFormat="1">
      <c r="A43" s="428"/>
      <c r="B43" s="330"/>
      <c r="C43" s="330"/>
      <c r="D43" s="330"/>
      <c r="E43" s="330"/>
      <c r="F43" s="330"/>
      <c r="G43" s="356">
        <f>SUM(B43:F43)</f>
        <v>0</v>
      </c>
      <c r="H43" s="357"/>
      <c r="I43" s="358">
        <f>H43-SUM(B43:F43)</f>
        <v>0</v>
      </c>
    </row>
    <row r="44" spans="1:12" s="179" customFormat="1">
      <c r="A44" s="360"/>
      <c r="B44" s="361"/>
      <c r="C44" s="361"/>
      <c r="D44" s="361"/>
      <c r="E44" s="361"/>
      <c r="F44" s="361"/>
      <c r="G44" s="362">
        <f>SUM(B44:F44)</f>
        <v>0</v>
      </c>
      <c r="H44" s="363"/>
      <c r="I44" s="364">
        <f>H44-SUM(B44:F44)</f>
        <v>0</v>
      </c>
      <c r="L44" s="69"/>
    </row>
    <row r="45" spans="1:12" s="678" customFormat="1" ht="11" thickBot="1">
      <c r="A45" s="673" t="s">
        <v>80</v>
      </c>
      <c r="B45" s="674">
        <f t="shared" ref="B45:I45" si="7">SUM(B40:B44)</f>
        <v>0</v>
      </c>
      <c r="C45" s="674">
        <f t="shared" si="7"/>
        <v>0</v>
      </c>
      <c r="D45" s="674">
        <f t="shared" si="7"/>
        <v>0</v>
      </c>
      <c r="E45" s="674">
        <f t="shared" si="7"/>
        <v>0</v>
      </c>
      <c r="F45" s="674">
        <f t="shared" si="7"/>
        <v>0</v>
      </c>
      <c r="G45" s="675">
        <f t="shared" si="7"/>
        <v>0</v>
      </c>
      <c r="H45" s="676">
        <f t="shared" si="7"/>
        <v>0</v>
      </c>
      <c r="I45" s="677">
        <f t="shared" si="7"/>
        <v>0</v>
      </c>
    </row>
    <row r="46" spans="1:12" ht="8" thickTop="1" thickBot="1">
      <c r="A46" s="663" t="s">
        <v>167</v>
      </c>
      <c r="B46" s="314" t="str">
        <f>IF(B45=0,"","post bal.")</f>
        <v/>
      </c>
      <c r="C46" s="314" t="str">
        <f>IF(C45=0,"","post bal.")</f>
        <v/>
      </c>
      <c r="D46" s="314" t="str">
        <f>IF(D45=0,"","post bal.")</f>
        <v/>
      </c>
      <c r="E46" s="314" t="str">
        <f>IF(E45=0,"","post bal.")</f>
        <v/>
      </c>
      <c r="F46" s="314" t="str">
        <f>IF(F45=0,"","post bal.")</f>
        <v/>
      </c>
      <c r="G46" s="185"/>
      <c r="H46" s="207"/>
      <c r="I46" s="207"/>
    </row>
    <row r="47" spans="1:12" s="166" customFormat="1" ht="7.5" thickTop="1">
      <c r="B47" s="689"/>
    </row>
    <row r="48" spans="1:12" s="166" customFormat="1">
      <c r="B48" s="689"/>
    </row>
    <row r="49" spans="1:9" s="166" customFormat="1" ht="22.5">
      <c r="A49" s="642" t="str">
        <f>CONCATENATE("PROVISIONS INTO/FROM ", Summary!$B$1+1, " NOT AFFECTING BANKING IN ",Summary!$B$1)</f>
        <v>PROVISIONS INTO/FROM 2023 NOT AFFECTING BANKING IN 2022</v>
      </c>
      <c r="B49" s="25"/>
      <c r="C49" s="25"/>
      <c r="D49" s="34"/>
      <c r="E49" s="25"/>
      <c r="F49" s="25"/>
      <c r="G49" s="25"/>
      <c r="H49" s="25"/>
    </row>
    <row r="50" spans="1:9" s="166" customFormat="1">
      <c r="B50" s="689"/>
    </row>
    <row r="51" spans="1:9" ht="11" thickBot="1">
      <c r="A51" s="815" t="str">
        <f>CONCATENATE(" INCOME COMMITTED BUT NOT RECEIVED IN ",Summary!$B$1,", PROVISIONED (RECEIVED) FROM ",Summary!$B$1+1)</f>
        <v xml:space="preserve"> INCOME COMMITTED BUT NOT RECEIVED IN 2022, PROVISIONED (RECEIVED) FROM 2023</v>
      </c>
      <c r="B51" s="818"/>
      <c r="C51" s="818"/>
      <c r="D51" s="818"/>
      <c r="E51" s="818"/>
      <c r="F51" s="818"/>
      <c r="G51" s="818"/>
      <c r="H51" s="819"/>
      <c r="I51" s="819"/>
    </row>
    <row r="52" spans="1:9" ht="7.5" thickTop="1">
      <c r="A52" s="345" t="s">
        <v>132</v>
      </c>
      <c r="B52" s="454" t="s">
        <v>236</v>
      </c>
      <c r="C52" s="384" t="str">
        <f>IF(C51=0,"","post bal.")</f>
        <v/>
      </c>
      <c r="D52" s="385"/>
      <c r="E52" s="349"/>
      <c r="F52" s="429"/>
      <c r="G52" s="20" t="s">
        <v>82</v>
      </c>
      <c r="H52" s="9"/>
      <c r="I52" s="754"/>
    </row>
    <row r="53" spans="1:9" s="14" customFormat="1" ht="7.5" thickBot="1">
      <c r="A53" s="346" t="s">
        <v>131</v>
      </c>
      <c r="B53" s="351">
        <v>45283</v>
      </c>
      <c r="C53" s="367"/>
      <c r="D53" s="367"/>
      <c r="E53" s="367"/>
      <c r="F53" s="386"/>
      <c r="G53" s="749" t="s">
        <v>272</v>
      </c>
      <c r="H53" s="15"/>
      <c r="I53" s="755"/>
    </row>
    <row r="54" spans="1:9" s="69" customFormat="1" ht="7.5" thickTop="1">
      <c r="A54" s="499" t="s">
        <v>281</v>
      </c>
      <c r="B54" s="681">
        <f>436.28-16.45</f>
        <v>419.83</v>
      </c>
      <c r="C54" s="326"/>
      <c r="D54" s="326"/>
      <c r="E54" s="326"/>
      <c r="F54" s="387"/>
      <c r="G54" s="750">
        <f>SUM(B54:F54)</f>
        <v>419.83</v>
      </c>
      <c r="H54" s="107"/>
      <c r="I54" s="756"/>
    </row>
    <row r="55" spans="1:9" s="69" customFormat="1">
      <c r="A55" s="348"/>
      <c r="B55" s="682"/>
      <c r="C55" s="366"/>
      <c r="D55" s="366"/>
      <c r="E55" s="366"/>
      <c r="F55" s="388"/>
      <c r="G55" s="751">
        <f t="shared" ref="G55:G59" si="8">SUM(B55:F55)</f>
        <v>0</v>
      </c>
      <c r="H55" s="107"/>
      <c r="I55" s="756"/>
    </row>
    <row r="56" spans="1:9" s="69" customFormat="1">
      <c r="A56" s="348"/>
      <c r="B56" s="682"/>
      <c r="C56" s="366"/>
      <c r="D56" s="366"/>
      <c r="E56" s="366"/>
      <c r="F56" s="388"/>
      <c r="G56" s="751">
        <f t="shared" si="8"/>
        <v>0</v>
      </c>
      <c r="H56" s="107"/>
      <c r="I56" s="756"/>
    </row>
    <row r="57" spans="1:9" s="69" customFormat="1">
      <c r="A57" s="428"/>
      <c r="B57" s="682"/>
      <c r="C57" s="366"/>
      <c r="D57" s="366"/>
      <c r="E57" s="366"/>
      <c r="F57" s="388"/>
      <c r="G57" s="751">
        <f t="shared" si="8"/>
        <v>0</v>
      </c>
      <c r="H57" s="107"/>
      <c r="I57" s="756"/>
    </row>
    <row r="58" spans="1:9" s="69" customFormat="1">
      <c r="A58" s="428"/>
      <c r="B58" s="683"/>
      <c r="C58" s="330"/>
      <c r="D58" s="330"/>
      <c r="E58" s="330"/>
      <c r="F58" s="389"/>
      <c r="G58" s="751">
        <f t="shared" si="8"/>
        <v>0</v>
      </c>
      <c r="H58" s="107"/>
      <c r="I58" s="756"/>
    </row>
    <row r="59" spans="1:9" s="69" customFormat="1" ht="7.5" thickBot="1">
      <c r="A59" s="347"/>
      <c r="B59" s="684"/>
      <c r="C59" s="390"/>
      <c r="D59" s="390"/>
      <c r="E59" s="390"/>
      <c r="F59" s="391"/>
      <c r="G59" s="752">
        <f t="shared" si="8"/>
        <v>0</v>
      </c>
      <c r="H59" s="107"/>
      <c r="I59" s="756"/>
    </row>
    <row r="60" spans="1:9" s="69" customFormat="1" ht="11.5" thickTop="1" thickBot="1">
      <c r="A60" s="342" t="s">
        <v>80</v>
      </c>
      <c r="B60" s="150">
        <f t="shared" ref="B60:F60" si="9">SUM(B54:B59)</f>
        <v>419.83</v>
      </c>
      <c r="C60" s="150">
        <f t="shared" si="9"/>
        <v>0</v>
      </c>
      <c r="D60" s="150">
        <f t="shared" si="9"/>
        <v>0</v>
      </c>
      <c r="E60" s="150">
        <f t="shared" si="9"/>
        <v>0</v>
      </c>
      <c r="F60" s="757">
        <f t="shared" si="9"/>
        <v>0</v>
      </c>
      <c r="G60" s="753">
        <f>SUM(G54:G59)</f>
        <v>419.83</v>
      </c>
      <c r="H60" s="107"/>
      <c r="I60" s="756"/>
    </row>
    <row r="61" spans="1:9" ht="7.5" thickTop="1"/>
    <row r="62" spans="1:9" ht="11" thickBot="1">
      <c r="A62" s="815" t="str">
        <f>CONCATENATE(" INCOME RECEIVED IN ",Summary!$B$1," EARLY, PROVISIONED (PAID) INTO ",Summary!$B$1+1)</f>
        <v xml:space="preserve"> INCOME RECEIVED IN 2022 EARLY, PROVISIONED (PAID) INTO 2023</v>
      </c>
      <c r="B62" s="818"/>
      <c r="C62" s="818"/>
      <c r="D62" s="818"/>
      <c r="E62" s="2"/>
      <c r="F62" s="2"/>
      <c r="G62" s="2"/>
    </row>
    <row r="63" spans="1:9" ht="7.5" thickTop="1">
      <c r="A63" s="345" t="s">
        <v>132</v>
      </c>
      <c r="B63" s="454"/>
      <c r="C63" s="454"/>
      <c r="D63" s="349"/>
      <c r="E63" s="349"/>
      <c r="F63" s="429"/>
      <c r="G63" s="771" t="s">
        <v>82</v>
      </c>
      <c r="H63" s="762"/>
      <c r="I63" s="763"/>
    </row>
    <row r="64" spans="1:9" ht="7.5" thickBot="1">
      <c r="A64" s="350" t="s">
        <v>131</v>
      </c>
      <c r="B64" s="351"/>
      <c r="C64" s="367"/>
      <c r="D64" s="351"/>
      <c r="E64" s="351"/>
      <c r="F64" s="352"/>
      <c r="G64" s="127" t="s">
        <v>171</v>
      </c>
      <c r="H64" s="762"/>
      <c r="I64" s="763">
        <f>I$53</f>
        <v>0</v>
      </c>
    </row>
    <row r="65" spans="1:16" ht="7.5" thickTop="1">
      <c r="A65" s="499"/>
      <c r="B65" s="353"/>
      <c r="C65" s="366"/>
      <c r="D65" s="353"/>
      <c r="E65" s="353"/>
      <c r="F65" s="387"/>
      <c r="G65" s="758">
        <f>SUM(B65:F65)</f>
        <v>0</v>
      </c>
      <c r="H65" s="762"/>
      <c r="I65" s="756">
        <f>G65-SUM(B65:F65)</f>
        <v>0</v>
      </c>
    </row>
    <row r="66" spans="1:16">
      <c r="A66" s="428"/>
      <c r="B66" s="330"/>
      <c r="C66" s="330"/>
      <c r="D66" s="330"/>
      <c r="E66" s="330"/>
      <c r="F66" s="389"/>
      <c r="G66" s="759">
        <f t="shared" ref="G66:G70" si="10">SUM(B66:F66)</f>
        <v>0</v>
      </c>
      <c r="H66" s="762"/>
      <c r="I66" s="756">
        <f>G66-SUM(B66:F66)</f>
        <v>0</v>
      </c>
    </row>
    <row r="67" spans="1:16">
      <c r="A67" s="359"/>
      <c r="B67" s="330"/>
      <c r="C67" s="330"/>
      <c r="D67" s="330"/>
      <c r="E67" s="330"/>
      <c r="F67" s="389"/>
      <c r="G67" s="759">
        <f t="shared" si="10"/>
        <v>0</v>
      </c>
      <c r="H67" s="762"/>
      <c r="I67" s="756">
        <f>G67-SUM(B67:F67)</f>
        <v>0</v>
      </c>
    </row>
    <row r="68" spans="1:16">
      <c r="A68" s="428"/>
      <c r="B68" s="330"/>
      <c r="C68" s="330"/>
      <c r="D68" s="330"/>
      <c r="E68" s="330"/>
      <c r="F68" s="389"/>
      <c r="G68" s="759">
        <f t="shared" si="10"/>
        <v>0</v>
      </c>
      <c r="H68" s="762"/>
      <c r="I68" s="756">
        <f>G68-SUM(B68:F68)</f>
        <v>0</v>
      </c>
    </row>
    <row r="69" spans="1:16" ht="7.5" thickBot="1">
      <c r="A69" s="764"/>
      <c r="B69" s="765"/>
      <c r="C69" s="765"/>
      <c r="D69" s="765"/>
      <c r="E69" s="765"/>
      <c r="F69" s="766"/>
      <c r="G69" s="767">
        <f t="shared" si="10"/>
        <v>0</v>
      </c>
      <c r="H69" s="762"/>
      <c r="I69" s="756">
        <f>G69-SUM(B69:F69)</f>
        <v>0</v>
      </c>
    </row>
    <row r="70" spans="1:16" ht="11.5" thickTop="1" thickBot="1">
      <c r="A70" s="342" t="s">
        <v>184</v>
      </c>
      <c r="B70" s="150">
        <f t="shared" ref="B70:I70" si="11">SUM(B65:B69)</f>
        <v>0</v>
      </c>
      <c r="C70" s="150">
        <f t="shared" si="11"/>
        <v>0</v>
      </c>
      <c r="D70" s="150">
        <f t="shared" si="11"/>
        <v>0</v>
      </c>
      <c r="E70" s="150">
        <f t="shared" si="11"/>
        <v>0</v>
      </c>
      <c r="F70" s="757">
        <f t="shared" si="11"/>
        <v>0</v>
      </c>
      <c r="G70" s="151">
        <f t="shared" si="10"/>
        <v>0</v>
      </c>
      <c r="H70" s="762"/>
      <c r="I70" s="756">
        <f t="shared" si="11"/>
        <v>0</v>
      </c>
    </row>
    <row r="71" spans="1:16" ht="7.5" thickTop="1"/>
    <row r="72" spans="1:16" ht="11" thickBot="1">
      <c r="A72" s="815" t="str">
        <f>CONCATENATE(" PAYMENTS MADE IN ",Summary!$B$1," EARLY, PROVISIONED (RECEIVED) FROM ",Summary!$B$1+1)</f>
        <v xml:space="preserve"> PAYMENTS MADE IN 2022 EARLY, PROVISIONED (RECEIVED) FROM 2023</v>
      </c>
      <c r="B72" s="816"/>
      <c r="C72" s="816"/>
      <c r="D72" s="816"/>
      <c r="E72" s="816"/>
      <c r="F72" s="816"/>
      <c r="G72" s="816"/>
      <c r="H72" s="817"/>
      <c r="I72" s="817"/>
    </row>
    <row r="73" spans="1:16" ht="7.5" thickTop="1">
      <c r="A73" s="345" t="s">
        <v>132</v>
      </c>
      <c r="B73" s="454" t="s">
        <v>143</v>
      </c>
      <c r="C73" s="454"/>
      <c r="D73" s="349"/>
      <c r="E73" s="349"/>
      <c r="F73" s="429"/>
      <c r="G73" s="61" t="s">
        <v>82</v>
      </c>
      <c r="H73" s="762"/>
      <c r="I73" s="763"/>
      <c r="P73" s="284"/>
    </row>
    <row r="74" spans="1:16" ht="7.5" thickBot="1">
      <c r="A74" s="350" t="s">
        <v>131</v>
      </c>
      <c r="B74" s="351"/>
      <c r="C74" s="367"/>
      <c r="D74" s="351"/>
      <c r="E74" s="351"/>
      <c r="F74" s="352"/>
      <c r="G74" s="772" t="s">
        <v>272</v>
      </c>
      <c r="H74" s="762"/>
      <c r="I74" s="763"/>
    </row>
    <row r="75" spans="1:16" ht="7.5" thickTop="1">
      <c r="A75" s="499" t="s">
        <v>264</v>
      </c>
      <c r="B75" s="353">
        <v>290.99</v>
      </c>
      <c r="C75" s="366"/>
      <c r="D75" s="353"/>
      <c r="E75" s="353"/>
      <c r="F75" s="768"/>
      <c r="G75" s="758">
        <f>SUM(B75:F75)</f>
        <v>290.99</v>
      </c>
      <c r="H75" s="762"/>
      <c r="I75" s="756"/>
    </row>
    <row r="76" spans="1:16">
      <c r="A76" s="428"/>
      <c r="B76" s="330"/>
      <c r="C76" s="330"/>
      <c r="D76" s="330"/>
      <c r="E76" s="330"/>
      <c r="F76" s="389"/>
      <c r="G76" s="759">
        <f t="shared" ref="G76:G79" si="12">SUM(B76:F76)</f>
        <v>0</v>
      </c>
      <c r="H76" s="762"/>
      <c r="I76" s="756"/>
    </row>
    <row r="77" spans="1:16">
      <c r="A77" s="359"/>
      <c r="B77" s="330"/>
      <c r="C77" s="330"/>
      <c r="D77" s="330"/>
      <c r="E77" s="330"/>
      <c r="F77" s="389"/>
      <c r="G77" s="759">
        <f t="shared" si="12"/>
        <v>0</v>
      </c>
      <c r="H77" s="762"/>
      <c r="I77" s="756"/>
    </row>
    <row r="78" spans="1:16">
      <c r="A78" s="428"/>
      <c r="B78" s="330"/>
      <c r="C78" s="330"/>
      <c r="D78" s="330"/>
      <c r="E78" s="330"/>
      <c r="F78" s="389"/>
      <c r="G78" s="759">
        <f t="shared" si="12"/>
        <v>0</v>
      </c>
      <c r="H78" s="762"/>
      <c r="I78" s="756"/>
    </row>
    <row r="79" spans="1:16" ht="7.5" thickBot="1">
      <c r="A79" s="764"/>
      <c r="B79" s="765"/>
      <c r="C79" s="765"/>
      <c r="D79" s="765"/>
      <c r="E79" s="765"/>
      <c r="F79" s="766"/>
      <c r="G79" s="767">
        <f t="shared" si="12"/>
        <v>0</v>
      </c>
      <c r="H79" s="762"/>
      <c r="I79" s="756"/>
    </row>
    <row r="80" spans="1:16" ht="11.5" thickTop="1" thickBot="1">
      <c r="A80" s="342" t="s">
        <v>185</v>
      </c>
      <c r="B80" s="150">
        <f t="shared" ref="B80:F80" si="13">SUM(B75:B79)</f>
        <v>290.99</v>
      </c>
      <c r="C80" s="150">
        <f t="shared" si="13"/>
        <v>0</v>
      </c>
      <c r="D80" s="150">
        <f t="shared" si="13"/>
        <v>0</v>
      </c>
      <c r="E80" s="150">
        <f t="shared" si="13"/>
        <v>0</v>
      </c>
      <c r="F80" s="757">
        <f t="shared" si="13"/>
        <v>0</v>
      </c>
      <c r="G80" s="151">
        <f>SUM(G75:G79)</f>
        <v>290.99</v>
      </c>
      <c r="H80" s="762"/>
      <c r="I80" s="756"/>
    </row>
    <row r="81" spans="1:16" ht="7.5" thickTop="1"/>
    <row r="82" spans="1:16" ht="11" thickBot="1">
      <c r="A82" s="815" t="str">
        <f>CONCATENATE(" PAYMENTS COMMITTED &amp; NOT PAID IN ",Summary!$B$1,"; PROVISIONED (PAID) INTO ",Summary!$B$1+1, "TO PAY IN ",Summary!$B$1+1)</f>
        <v xml:space="preserve"> PAYMENTS COMMITTED &amp; NOT PAID IN 2022; PROVISIONED (PAID) INTO 2023TO PAY IN 2023</v>
      </c>
      <c r="B82" s="816"/>
      <c r="C82" s="816"/>
      <c r="D82" s="816"/>
      <c r="E82" s="816"/>
      <c r="F82" s="817"/>
      <c r="G82" s="816"/>
      <c r="H82" s="817"/>
      <c r="I82" s="817"/>
    </row>
    <row r="83" spans="1:16" ht="7.5" thickTop="1">
      <c r="A83" s="345" t="s">
        <v>132</v>
      </c>
      <c r="B83" s="454"/>
      <c r="C83" s="454"/>
      <c r="D83" s="349"/>
      <c r="E83" s="349"/>
      <c r="F83" s="770"/>
      <c r="G83" s="3" t="s">
        <v>82</v>
      </c>
      <c r="H83" s="9"/>
      <c r="I83" s="763"/>
      <c r="P83" s="284"/>
    </row>
    <row r="84" spans="1:16" ht="7.5" thickBot="1">
      <c r="A84" s="350" t="s">
        <v>131</v>
      </c>
      <c r="B84" s="351"/>
      <c r="C84" s="367"/>
      <c r="D84" s="351"/>
      <c r="E84" s="351"/>
      <c r="F84" s="352"/>
      <c r="G84" s="152" t="s">
        <v>171</v>
      </c>
      <c r="H84" s="9"/>
      <c r="I84" s="763"/>
    </row>
    <row r="85" spans="1:16" ht="7.5" thickTop="1">
      <c r="A85" s="499"/>
      <c r="B85" s="353"/>
      <c r="C85" s="366"/>
      <c r="D85" s="353"/>
      <c r="E85" s="353"/>
      <c r="F85" s="768"/>
      <c r="G85" s="758">
        <f>SUM(B85:F85)</f>
        <v>0</v>
      </c>
      <c r="H85" s="9"/>
      <c r="I85" s="756"/>
    </row>
    <row r="86" spans="1:16">
      <c r="A86" s="428"/>
      <c r="B86" s="330"/>
      <c r="C86" s="330"/>
      <c r="D86" s="330"/>
      <c r="E86" s="330"/>
      <c r="F86" s="389"/>
      <c r="G86" s="759">
        <f t="shared" ref="G86:G89" si="14">SUM(B86:F86)</f>
        <v>0</v>
      </c>
      <c r="H86" s="9"/>
      <c r="I86" s="756"/>
    </row>
    <row r="87" spans="1:16">
      <c r="A87" s="359"/>
      <c r="B87" s="330"/>
      <c r="C87" s="330"/>
      <c r="D87" s="330"/>
      <c r="E87" s="330"/>
      <c r="F87" s="389"/>
      <c r="G87" s="759">
        <f t="shared" si="14"/>
        <v>0</v>
      </c>
      <c r="H87" s="9"/>
      <c r="I87" s="756"/>
    </row>
    <row r="88" spans="1:16">
      <c r="A88" s="428"/>
      <c r="B88" s="330"/>
      <c r="C88" s="330"/>
      <c r="D88" s="330"/>
      <c r="E88" s="330"/>
      <c r="F88" s="389"/>
      <c r="G88" s="759">
        <f t="shared" si="14"/>
        <v>0</v>
      </c>
      <c r="H88" s="9"/>
      <c r="I88" s="756"/>
    </row>
    <row r="89" spans="1:16">
      <c r="A89" s="360"/>
      <c r="B89" s="361"/>
      <c r="C89" s="361"/>
      <c r="D89" s="361"/>
      <c r="E89" s="361"/>
      <c r="F89" s="760"/>
      <c r="G89" s="767">
        <f t="shared" si="14"/>
        <v>0</v>
      </c>
      <c r="H89" s="9"/>
      <c r="I89" s="756"/>
    </row>
    <row r="90" spans="1:16" ht="11" thickBot="1">
      <c r="A90" s="125" t="s">
        <v>81</v>
      </c>
      <c r="B90" s="126">
        <f t="shared" ref="B90:F90" si="15">SUM(B85:B89)</f>
        <v>0</v>
      </c>
      <c r="C90" s="126">
        <f t="shared" si="15"/>
        <v>0</v>
      </c>
      <c r="D90" s="126">
        <f t="shared" si="15"/>
        <v>0</v>
      </c>
      <c r="E90" s="126">
        <f t="shared" si="15"/>
        <v>0</v>
      </c>
      <c r="F90" s="761">
        <f t="shared" si="15"/>
        <v>0</v>
      </c>
      <c r="G90" s="769">
        <f>SUM(G85:G89)</f>
        <v>0</v>
      </c>
      <c r="H90" s="9"/>
      <c r="I90" s="756"/>
    </row>
    <row r="91" spans="1:16" ht="7.5" thickTop="1"/>
  </sheetData>
  <mergeCells count="6">
    <mergeCell ref="A25:I25"/>
    <mergeCell ref="A82:I82"/>
    <mergeCell ref="A62:D62"/>
    <mergeCell ref="A51:I51"/>
    <mergeCell ref="A72:I72"/>
    <mergeCell ref="A37:I37"/>
  </mergeCells>
  <phoneticPr fontId="9" type="noConversion"/>
  <pageMargins left="0.35433070866141736" right="0.35433070866141736" top="0.27559055118110237" bottom="0.27559055118110237" header="0" footer="0.27559055118110237"/>
  <pageSetup paperSize="9" orientation="portrait" verticalDpi="4" r:id="rId1"/>
  <headerFooter alignWithMargins="0"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7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Di's Summary</vt:lpstr>
      <vt:lpstr>Summary</vt:lpstr>
      <vt:lpstr>TRIP_ACCOUNTS</vt:lpstr>
      <vt:lpstr>MAINTENANCE</vt:lpstr>
      <vt:lpstr>LATE BANKING</vt:lpstr>
      <vt:lpstr>OTHER COSTS</vt:lpstr>
      <vt:lpstr>PROVISIONS &amp; SUBS</vt:lpstr>
      <vt:lpstr>Sheet1</vt:lpstr>
      <vt:lpstr>'Di''s Summary'!Print_Area</vt:lpstr>
      <vt:lpstr>'LATE BANKING'!Print_Area</vt:lpstr>
      <vt:lpstr>MAINTENANCE!Print_Area</vt:lpstr>
      <vt:lpstr>'OTHER COSTS'!Print_Area</vt:lpstr>
      <vt:lpstr>'PROVISIONS &amp; SUBS'!Print_Area</vt:lpstr>
      <vt:lpstr>Summary!Print_Area</vt:lpstr>
      <vt:lpstr>TRIP_ACCOUNTS!Print_Area</vt:lpstr>
      <vt:lpstr>'LATE BANKING'!Print_Titles</vt:lpstr>
      <vt:lpstr>MAINTENANCE!Print_Titles</vt:lpstr>
      <vt:lpstr>'OTHER COSTS'!Print_Titles</vt:lpstr>
      <vt:lpstr>'PROVISIONS &amp; SUBS'!Print_Titles</vt:lpstr>
      <vt:lpstr>Summary!Print_Titles</vt:lpstr>
      <vt:lpstr>TRIP_ACCOUNTS!Print_Titles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Broughton</dc:creator>
  <cp:lastModifiedBy>Phil</cp:lastModifiedBy>
  <cp:lastPrinted>2023-02-23T09:24:26Z</cp:lastPrinted>
  <dcterms:created xsi:type="dcterms:W3CDTF">2001-11-01T11:07:00Z</dcterms:created>
  <dcterms:modified xsi:type="dcterms:W3CDTF">2023-02-23T10:11:34Z</dcterms:modified>
</cp:coreProperties>
</file>