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 activeTab="1"/>
  </bookViews>
  <sheets>
    <sheet name="YOUR JOBS" sheetId="3" r:id="rId1"/>
    <sheet name="Budget" sheetId="2" r:id="rId2"/>
    <sheet name="ALL JOBS" sheetId="4" r:id="rId3"/>
    <sheet name="Sheet1" sheetId="5" state="hidden" r:id="rId4"/>
  </sheets>
  <definedNames>
    <definedName name="JOBS">'ALL JOBS'!$23:$39</definedName>
    <definedName name="_xlnm.Print_Area" localSheetId="2">'ALL JOBS'!$A$1:$H$95</definedName>
    <definedName name="_xlnm.Print_Area" localSheetId="1">Budget!$A$1:$E$42</definedName>
    <definedName name="_xlnm.Print_Area" localSheetId="0">'YOUR JOBS'!$A$1:$AK$20</definedName>
    <definedName name="_xlnm.Print_Titles" localSheetId="2">'ALL JOBS'!$1:$8</definedName>
  </definedNames>
  <calcPr calcId="124519"/>
</workbook>
</file>

<file path=xl/calcChain.xml><?xml version="1.0" encoding="utf-8"?>
<calcChain xmlns="http://schemas.openxmlformats.org/spreadsheetml/2006/main">
  <c r="D4" i="5"/>
  <c r="E4" s="1"/>
  <c r="H18" i="4"/>
  <c r="A18"/>
  <c r="K18" s="1"/>
  <c r="B23" i="2" l="1"/>
  <c r="H21" i="4"/>
  <c r="H17"/>
  <c r="H19"/>
  <c r="H20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A41"/>
  <c r="H42"/>
  <c r="H43"/>
  <c r="H44"/>
  <c r="H45"/>
  <c r="H46"/>
  <c r="H47"/>
  <c r="H48"/>
  <c r="H49"/>
  <c r="H50"/>
  <c r="H51"/>
  <c r="H52"/>
  <c r="H53"/>
  <c r="H54"/>
  <c r="H55"/>
  <c r="H56"/>
  <c r="H57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J10"/>
  <c r="J11" s="1"/>
  <c r="J12" l="1"/>
  <c r="J13" s="1"/>
  <c r="J14" s="1"/>
  <c r="J15" s="1"/>
  <c r="J16" s="1"/>
  <c r="J17" l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18"/>
  <c r="B24" i="2"/>
  <c r="E13"/>
  <c r="E7"/>
  <c r="J3" i="3" l="1"/>
  <c r="B3" i="2"/>
  <c r="D3" i="5" l="1"/>
  <c r="E3" s="1"/>
  <c r="E5" s="1"/>
  <c r="E23" i="2" l="1"/>
  <c r="AH77" i="3" l="1"/>
  <c r="AG77"/>
  <c r="H77"/>
  <c r="U77" s="1"/>
  <c r="AH76"/>
  <c r="AG76"/>
  <c r="H76"/>
  <c r="U76" s="1"/>
  <c r="AH75"/>
  <c r="AG75"/>
  <c r="H75"/>
  <c r="U75" s="1"/>
  <c r="AH74"/>
  <c r="AG74"/>
  <c r="H74"/>
  <c r="U74" s="1"/>
  <c r="AH73"/>
  <c r="AG73"/>
  <c r="H73"/>
  <c r="U73" s="1"/>
  <c r="AH72"/>
  <c r="AG72"/>
  <c r="H72"/>
  <c r="U72" s="1"/>
  <c r="AH71"/>
  <c r="AG71"/>
  <c r="H71"/>
  <c r="U71" s="1"/>
  <c r="AH70"/>
  <c r="AG70"/>
  <c r="H70"/>
  <c r="U70" s="1"/>
  <c r="AH69"/>
  <c r="AG69"/>
  <c r="H69"/>
  <c r="U69" s="1"/>
  <c r="AH68"/>
  <c r="AG68"/>
  <c r="H68"/>
  <c r="U68" s="1"/>
  <c r="AH67"/>
  <c r="AG67"/>
  <c r="H67"/>
  <c r="U67" s="1"/>
  <c r="AH66"/>
  <c r="AG66"/>
  <c r="H66"/>
  <c r="U66" s="1"/>
  <c r="AH65"/>
  <c r="AG65"/>
  <c r="H65"/>
  <c r="U65" s="1"/>
  <c r="AH64"/>
  <c r="AG64"/>
  <c r="H64"/>
  <c r="U64" s="1"/>
  <c r="AH63"/>
  <c r="AG63"/>
  <c r="H63"/>
  <c r="U63" s="1"/>
  <c r="AH62"/>
  <c r="AG62"/>
  <c r="H62"/>
  <c r="U62" s="1"/>
  <c r="AH61"/>
  <c r="AG61"/>
  <c r="H61"/>
  <c r="U61" s="1"/>
  <c r="AH60"/>
  <c r="AG60"/>
  <c r="H60"/>
  <c r="U60" s="1"/>
  <c r="AH59"/>
  <c r="AG59"/>
  <c r="H59"/>
  <c r="U59" s="1"/>
  <c r="AH58"/>
  <c r="AG58"/>
  <c r="H58"/>
  <c r="U58" s="1"/>
  <c r="AH57"/>
  <c r="AG57"/>
  <c r="H57"/>
  <c r="U57" s="1"/>
  <c r="AH56"/>
  <c r="AG56"/>
  <c r="H56"/>
  <c r="U56" s="1"/>
  <c r="AH55"/>
  <c r="AG55"/>
  <c r="H55"/>
  <c r="U55" s="1"/>
  <c r="AH54"/>
  <c r="AG54"/>
  <c r="H54"/>
  <c r="U54" s="1"/>
  <c r="AH53"/>
  <c r="AG53"/>
  <c r="H53"/>
  <c r="U53" s="1"/>
  <c r="AH52"/>
  <c r="AG52"/>
  <c r="H52"/>
  <c r="U52" s="1"/>
  <c r="AH51"/>
  <c r="AG51"/>
  <c r="H51"/>
  <c r="U51" s="1"/>
  <c r="AH50"/>
  <c r="AG50"/>
  <c r="H50"/>
  <c r="U50" s="1"/>
  <c r="AH49"/>
  <c r="AG49"/>
  <c r="H49"/>
  <c r="U49" s="1"/>
  <c r="AH48"/>
  <c r="AG48"/>
  <c r="H48"/>
  <c r="U48" s="1"/>
  <c r="AH47"/>
  <c r="AG47"/>
  <c r="H47"/>
  <c r="U47" s="1"/>
  <c r="AH46"/>
  <c r="AG46"/>
  <c r="H46"/>
  <c r="U46" s="1"/>
  <c r="AH45"/>
  <c r="AG45"/>
  <c r="H45"/>
  <c r="U45" s="1"/>
  <c r="AH44"/>
  <c r="AG44"/>
  <c r="H44"/>
  <c r="U44" s="1"/>
  <c r="AH43"/>
  <c r="AG43"/>
  <c r="H43"/>
  <c r="U43" s="1"/>
  <c r="AH42"/>
  <c r="AG42"/>
  <c r="H42"/>
  <c r="U42" s="1"/>
  <c r="AH41"/>
  <c r="AG41"/>
  <c r="H41"/>
  <c r="U41" s="1"/>
  <c r="AH40"/>
  <c r="AG40"/>
  <c r="H40"/>
  <c r="U40" s="1"/>
  <c r="AH39"/>
  <c r="AG39"/>
  <c r="H39"/>
  <c r="U39" s="1"/>
  <c r="AH38"/>
  <c r="AG38"/>
  <c r="H38"/>
  <c r="U38" s="1"/>
  <c r="AH37"/>
  <c r="AG37"/>
  <c r="H37"/>
  <c r="U37" s="1"/>
  <c r="AH36"/>
  <c r="AG36"/>
  <c r="H36"/>
  <c r="U36" s="1"/>
  <c r="AH35"/>
  <c r="AG35"/>
  <c r="H35"/>
  <c r="U35" s="1"/>
  <c r="AH34"/>
  <c r="AG34"/>
  <c r="H34"/>
  <c r="U34" s="1"/>
  <c r="AH33"/>
  <c r="AG33"/>
  <c r="H33"/>
  <c r="U33" s="1"/>
  <c r="AH32"/>
  <c r="AG32"/>
  <c r="H32"/>
  <c r="U32" s="1"/>
  <c r="AH31"/>
  <c r="AG31"/>
  <c r="H31"/>
  <c r="U31" s="1"/>
  <c r="AH30"/>
  <c r="AG30"/>
  <c r="H30"/>
  <c r="U30" s="1"/>
  <c r="AH29"/>
  <c r="AG29"/>
  <c r="H29"/>
  <c r="U29" s="1"/>
  <c r="AH28"/>
  <c r="AG28"/>
  <c r="H28"/>
  <c r="U28" s="1"/>
  <c r="AH27"/>
  <c r="AG27"/>
  <c r="H27"/>
  <c r="U27" s="1"/>
  <c r="AH26"/>
  <c r="AG26"/>
  <c r="H26"/>
  <c r="U26" s="1"/>
  <c r="AH25"/>
  <c r="AG25"/>
  <c r="H25"/>
  <c r="U25" s="1"/>
  <c r="AH24"/>
  <c r="AG24"/>
  <c r="H24"/>
  <c r="U24" s="1"/>
  <c r="AH23"/>
  <c r="AG23"/>
  <c r="H23"/>
  <c r="U23" s="1"/>
  <c r="AH22"/>
  <c r="AG22"/>
  <c r="H22"/>
  <c r="U22" s="1"/>
  <c r="AH21"/>
  <c r="AG21"/>
  <c r="H21"/>
  <c r="U21" s="1"/>
  <c r="AH20"/>
  <c r="AG20"/>
  <c r="H20"/>
  <c r="U20" s="1"/>
  <c r="D95" l="1"/>
  <c r="D94"/>
  <c r="D93"/>
  <c r="D81"/>
  <c r="A78" i="4"/>
  <c r="A9"/>
  <c r="H13"/>
  <c r="E9" i="2"/>
  <c r="AH4" i="3"/>
  <c r="AG4"/>
  <c r="AH5"/>
  <c r="AG5"/>
  <c r="AH6"/>
  <c r="AG6"/>
  <c r="AH7"/>
  <c r="AG7"/>
  <c r="AH8"/>
  <c r="AG8"/>
  <c r="AH9"/>
  <c r="AG9"/>
  <c r="AH10"/>
  <c r="AG10"/>
  <c r="AH11"/>
  <c r="AG11"/>
  <c r="AH12"/>
  <c r="AG12"/>
  <c r="AH13"/>
  <c r="AG13"/>
  <c r="AH14"/>
  <c r="AG14"/>
  <c r="AH15"/>
  <c r="AG15"/>
  <c r="AH16"/>
  <c r="AG16"/>
  <c r="AH17"/>
  <c r="AG17"/>
  <c r="AH18"/>
  <c r="AG18"/>
  <c r="AH19"/>
  <c r="AG19"/>
  <c r="G85" i="4"/>
  <c r="G79" s="1"/>
  <c r="B8" i="2" s="1"/>
  <c r="H19" i="3"/>
  <c r="U19" s="1"/>
  <c r="H18"/>
  <c r="U18" s="1"/>
  <c r="H17"/>
  <c r="U17" s="1"/>
  <c r="H16"/>
  <c r="U16" s="1"/>
  <c r="H15"/>
  <c r="U15" s="1"/>
  <c r="H14"/>
  <c r="U14" s="1"/>
  <c r="H13"/>
  <c r="U13" s="1"/>
  <c r="H12"/>
  <c r="U12" s="1"/>
  <c r="H11"/>
  <c r="U11" s="1"/>
  <c r="H10"/>
  <c r="U10" s="1"/>
  <c r="H9"/>
  <c r="U9" s="1"/>
  <c r="H11" i="4"/>
  <c r="H10"/>
  <c r="H14"/>
  <c r="H12"/>
  <c r="H85"/>
  <c r="G81" s="1"/>
  <c r="F85"/>
  <c r="G80" s="1"/>
  <c r="E8" i="2"/>
  <c r="B25"/>
  <c r="B7" s="1"/>
  <c r="E22"/>
  <c r="E10" s="1"/>
  <c r="B1" i="3"/>
  <c r="B3"/>
  <c r="C3"/>
  <c r="D3"/>
  <c r="F3"/>
  <c r="H4"/>
  <c r="U4" s="1"/>
  <c r="W4"/>
  <c r="H5"/>
  <c r="U5" s="1"/>
  <c r="H6"/>
  <c r="U6" s="1"/>
  <c r="H7"/>
  <c r="U7" s="1"/>
  <c r="H8"/>
  <c r="U8" s="1"/>
  <c r="AF78"/>
  <c r="AF79"/>
  <c r="B82"/>
  <c r="B83" s="1"/>
  <c r="M2"/>
  <c r="B15" i="2" l="1"/>
  <c r="E15"/>
  <c r="E18" s="1"/>
  <c r="D83" i="3"/>
  <c r="B84"/>
  <c r="D82"/>
  <c r="B17" i="2" l="1"/>
  <c r="B85" i="3"/>
  <c r="D84"/>
  <c r="F17" i="2" l="1"/>
  <c r="B18"/>
  <c r="D85" i="3"/>
  <c r="B86"/>
  <c r="B87" l="1"/>
  <c r="D86"/>
  <c r="D87" l="1"/>
  <c r="B88"/>
  <c r="B89" l="1"/>
  <c r="D88"/>
  <c r="D89" l="1"/>
  <c r="B90"/>
  <c r="B91" l="1"/>
  <c r="D90"/>
  <c r="D91" l="1"/>
  <c r="B92"/>
  <c r="D92" l="1"/>
  <c r="C1"/>
  <c r="G39"/>
  <c r="T76" l="1"/>
  <c r="T74"/>
  <c r="T72"/>
  <c r="T70"/>
  <c r="T68"/>
  <c r="T66"/>
  <c r="T64"/>
  <c r="T62"/>
  <c r="T60"/>
  <c r="T58"/>
  <c r="T56"/>
  <c r="T54"/>
  <c r="T52"/>
  <c r="T50"/>
  <c r="T48"/>
  <c r="T46"/>
  <c r="T44"/>
  <c r="T42"/>
  <c r="T40"/>
  <c r="T38"/>
  <c r="T36"/>
  <c r="T34"/>
  <c r="T32"/>
  <c r="T30"/>
  <c r="T28"/>
  <c r="T26"/>
  <c r="T24"/>
  <c r="T22"/>
  <c r="T20"/>
  <c r="T18"/>
  <c r="T16"/>
  <c r="T14"/>
  <c r="T12"/>
  <c r="T10"/>
  <c r="T8"/>
  <c r="T6"/>
  <c r="T77"/>
  <c r="T75"/>
  <c r="T73"/>
  <c r="T71"/>
  <c r="T69"/>
  <c r="T67"/>
  <c r="T65"/>
  <c r="T63"/>
  <c r="T61"/>
  <c r="T59"/>
  <c r="T57"/>
  <c r="T55"/>
  <c r="T53"/>
  <c r="T51"/>
  <c r="T49"/>
  <c r="T47"/>
  <c r="T45"/>
  <c r="T43"/>
  <c r="T41"/>
  <c r="T39"/>
  <c r="T37"/>
  <c r="T35"/>
  <c r="T33"/>
  <c r="T31"/>
  <c r="T29"/>
  <c r="T27"/>
  <c r="T25"/>
  <c r="T23"/>
  <c r="T21"/>
  <c r="T19"/>
  <c r="T17"/>
  <c r="T15"/>
  <c r="T13"/>
  <c r="T11"/>
  <c r="T9"/>
  <c r="T7"/>
  <c r="T5"/>
  <c r="A1"/>
  <c r="T4"/>
  <c r="G45"/>
  <c r="G32"/>
  <c r="G59"/>
  <c r="G63"/>
  <c r="G64"/>
  <c r="G26"/>
  <c r="G22"/>
  <c r="G13"/>
  <c r="G46"/>
  <c r="G21"/>
  <c r="G14"/>
  <c r="G51"/>
  <c r="G6"/>
  <c r="G28"/>
  <c r="G77"/>
  <c r="G19"/>
  <c r="G60"/>
  <c r="G29"/>
  <c r="G8"/>
  <c r="G10"/>
  <c r="G58"/>
  <c r="G12"/>
  <c r="G44"/>
  <c r="G71"/>
  <c r="G75"/>
  <c r="G15"/>
  <c r="G16"/>
  <c r="G18"/>
  <c r="G31"/>
  <c r="G20"/>
  <c r="G52"/>
  <c r="G35"/>
  <c r="G50"/>
  <c r="G30"/>
  <c r="G62"/>
  <c r="G53"/>
  <c r="G41"/>
  <c r="G43"/>
  <c r="G34"/>
  <c r="G42"/>
  <c r="G7"/>
  <c r="G72"/>
  <c r="G55"/>
  <c r="G69"/>
  <c r="G25"/>
  <c r="G38"/>
  <c r="G27"/>
  <c r="G11"/>
  <c r="G17"/>
  <c r="G9"/>
  <c r="G66"/>
  <c r="G36"/>
  <c r="G70"/>
  <c r="G68"/>
  <c r="G4"/>
  <c r="G76"/>
  <c r="G49"/>
  <c r="G67"/>
  <c r="G47"/>
  <c r="G33"/>
  <c r="G61"/>
  <c r="G40"/>
  <c r="G24"/>
  <c r="G5"/>
  <c r="G56"/>
  <c r="G23"/>
  <c r="G65"/>
  <c r="G37"/>
  <c r="G54"/>
  <c r="G48"/>
  <c r="G57"/>
  <c r="G73"/>
  <c r="G74"/>
  <c r="A10" i="4" l="1"/>
  <c r="K10" l="1"/>
  <c r="A11"/>
  <c r="A12" l="1"/>
  <c r="K12" s="1"/>
  <c r="K11"/>
  <c r="A13"/>
  <c r="K13" s="1"/>
  <c r="K41" l="1"/>
  <c r="A14" l="1"/>
  <c r="K14" l="1"/>
  <c r="A15"/>
  <c r="K15" l="1"/>
  <c r="A16"/>
  <c r="A17" l="1"/>
  <c r="K16"/>
  <c r="K17" l="1"/>
  <c r="A19"/>
  <c r="A20" l="1"/>
  <c r="A21" s="1"/>
  <c r="K21" s="1"/>
  <c r="K19"/>
  <c r="A22" l="1"/>
  <c r="K22" s="1"/>
  <c r="K20"/>
  <c r="A23" l="1"/>
  <c r="K23" s="1"/>
  <c r="A24" l="1"/>
  <c r="K24" s="1"/>
  <c r="A25" l="1"/>
  <c r="K25" s="1"/>
  <c r="A26" l="1"/>
  <c r="K26" s="1"/>
  <c r="A27" l="1"/>
  <c r="K27" s="1"/>
  <c r="A28" l="1"/>
  <c r="K28" s="1"/>
  <c r="A29" l="1"/>
  <c r="A30" s="1"/>
  <c r="K30" s="1"/>
  <c r="A31" l="1"/>
  <c r="K31" s="1"/>
  <c r="K29"/>
  <c r="A32"/>
  <c r="A33" l="1"/>
  <c r="K32"/>
  <c r="A34" l="1"/>
  <c r="K33"/>
  <c r="A35" l="1"/>
  <c r="K34"/>
  <c r="A36" l="1"/>
  <c r="K35"/>
  <c r="A37" l="1"/>
  <c r="K36"/>
  <c r="A38" l="1"/>
  <c r="K37"/>
  <c r="A39" l="1"/>
  <c r="K38"/>
  <c r="A40" l="1"/>
  <c r="K39"/>
  <c r="K40" l="1"/>
  <c r="A42"/>
  <c r="A43" l="1"/>
  <c r="K42"/>
  <c r="A44" l="1"/>
  <c r="K43"/>
  <c r="A45" l="1"/>
  <c r="K44"/>
  <c r="A46" l="1"/>
  <c r="K45"/>
  <c r="A47" l="1"/>
  <c r="K46"/>
  <c r="A48" l="1"/>
  <c r="K47"/>
  <c r="A49" l="1"/>
  <c r="K48"/>
  <c r="A50" l="1"/>
  <c r="K49"/>
  <c r="A51" l="1"/>
  <c r="K50"/>
  <c r="A52" l="1"/>
  <c r="K51"/>
  <c r="A53" l="1"/>
  <c r="K52"/>
  <c r="A54" l="1"/>
  <c r="K53"/>
  <c r="A55" l="1"/>
  <c r="K54"/>
  <c r="A56" l="1"/>
  <c r="K55"/>
  <c r="A57" l="1"/>
  <c r="K57" s="1"/>
  <c r="K56"/>
  <c r="K9" s="1"/>
  <c r="K4" i="3" s="1"/>
  <c r="J4"/>
  <c r="M4" l="1"/>
  <c r="P4"/>
  <c r="L4"/>
  <c r="K5"/>
  <c r="N4"/>
  <c r="Q4"/>
  <c r="O4"/>
  <c r="J5"/>
  <c r="I4"/>
  <c r="I5"/>
  <c r="S4" l="1"/>
  <c r="AD4"/>
  <c r="V4"/>
  <c r="AA4" s="1"/>
  <c r="R4"/>
  <c r="S5"/>
  <c r="AD5"/>
  <c r="R5"/>
  <c r="M5"/>
  <c r="N5"/>
  <c r="L5"/>
  <c r="P5"/>
  <c r="K6"/>
  <c r="Q5"/>
  <c r="O5"/>
  <c r="W5"/>
  <c r="I6"/>
  <c r="J6"/>
  <c r="AE4" l="1"/>
  <c r="V5"/>
  <c r="V6" s="1"/>
  <c r="AB4"/>
  <c r="Z4"/>
  <c r="AC4"/>
  <c r="X4"/>
  <c r="Y4"/>
  <c r="S6"/>
  <c r="AD6"/>
  <c r="R6"/>
  <c r="P6"/>
  <c r="Q6"/>
  <c r="M6"/>
  <c r="O6"/>
  <c r="N6"/>
  <c r="K7"/>
  <c r="L6"/>
  <c r="Y5"/>
  <c r="J7"/>
  <c r="I7"/>
  <c r="W6" l="1"/>
  <c r="AC5"/>
  <c r="AE5"/>
  <c r="AF4" s="1"/>
  <c r="Z5"/>
  <c r="AA5"/>
  <c r="AB5"/>
  <c r="X5"/>
  <c r="N7"/>
  <c r="P7"/>
  <c r="L7"/>
  <c r="O7"/>
  <c r="Q7"/>
  <c r="M7"/>
  <c r="K8"/>
  <c r="AD7"/>
  <c r="R7"/>
  <c r="S7"/>
  <c r="AA6"/>
  <c r="X6"/>
  <c r="AE6"/>
  <c r="AB6"/>
  <c r="Z6"/>
  <c r="Y6"/>
  <c r="AC6"/>
  <c r="W7"/>
  <c r="V7"/>
  <c r="B4"/>
  <c r="F4"/>
  <c r="C4"/>
  <c r="D5"/>
  <c r="D4"/>
  <c r="E5"/>
  <c r="A5"/>
  <c r="I8"/>
  <c r="E4"/>
  <c r="A4"/>
  <c r="F5"/>
  <c r="J8"/>
  <c r="B5"/>
  <c r="C5"/>
  <c r="R8" l="1"/>
  <c r="S8"/>
  <c r="AD8"/>
  <c r="O8"/>
  <c r="N8"/>
  <c r="P8"/>
  <c r="K9"/>
  <c r="L8"/>
  <c r="M8"/>
  <c r="Q8"/>
  <c r="AF5"/>
  <c r="AB7"/>
  <c r="AE7"/>
  <c r="AA7"/>
  <c r="AC7"/>
  <c r="W8"/>
  <c r="Y7"/>
  <c r="X7"/>
  <c r="Z7"/>
  <c r="V8"/>
  <c r="E6"/>
  <c r="J9"/>
  <c r="B6"/>
  <c r="A6"/>
  <c r="F6"/>
  <c r="D6"/>
  <c r="I9"/>
  <c r="C6"/>
  <c r="R9" l="1"/>
  <c r="S9"/>
  <c r="AD9"/>
  <c r="O9"/>
  <c r="K10"/>
  <c r="Q9"/>
  <c r="N9"/>
  <c r="P9"/>
  <c r="L9"/>
  <c r="M9"/>
  <c r="AF6"/>
  <c r="AB8"/>
  <c r="AE8"/>
  <c r="AA8"/>
  <c r="X8"/>
  <c r="Y8"/>
  <c r="W9"/>
  <c r="Z8"/>
  <c r="AC8"/>
  <c r="V9"/>
  <c r="E7"/>
  <c r="J10"/>
  <c r="F7"/>
  <c r="I10"/>
  <c r="C7"/>
  <c r="A7"/>
  <c r="N10" l="1"/>
  <c r="P10"/>
  <c r="Q10"/>
  <c r="L10"/>
  <c r="M10"/>
  <c r="O10"/>
  <c r="K11"/>
  <c r="AD10"/>
  <c r="R10"/>
  <c r="S10"/>
  <c r="AF7"/>
  <c r="AE9"/>
  <c r="W10"/>
  <c r="AA9"/>
  <c r="AC9"/>
  <c r="AB9"/>
  <c r="Y9"/>
  <c r="X9"/>
  <c r="Z9"/>
  <c r="V10"/>
  <c r="F8"/>
  <c r="E8"/>
  <c r="D8"/>
  <c r="B7"/>
  <c r="A8"/>
  <c r="B8"/>
  <c r="D7"/>
  <c r="C8"/>
  <c r="J11"/>
  <c r="W11" l="1"/>
  <c r="X10"/>
  <c r="AB10"/>
  <c r="Y10"/>
  <c r="AE10"/>
  <c r="AF9" s="1"/>
  <c r="Z10"/>
  <c r="AC10"/>
  <c r="AA10"/>
  <c r="K12"/>
  <c r="M11"/>
  <c r="Q11"/>
  <c r="N11"/>
  <c r="O11"/>
  <c r="P11"/>
  <c r="L11"/>
  <c r="AF8"/>
  <c r="F9"/>
  <c r="C9"/>
  <c r="J12"/>
  <c r="I11"/>
  <c r="D9"/>
  <c r="A9"/>
  <c r="E9"/>
  <c r="B9"/>
  <c r="I12"/>
  <c r="S11" l="1"/>
  <c r="AD11"/>
  <c r="R11"/>
  <c r="V11"/>
  <c r="W12" s="1"/>
  <c r="R12"/>
  <c r="S12"/>
  <c r="AD12"/>
  <c r="O12"/>
  <c r="P12"/>
  <c r="Q12"/>
  <c r="N12"/>
  <c r="L12"/>
  <c r="M12"/>
  <c r="K13"/>
  <c r="J13"/>
  <c r="I13"/>
  <c r="V12" l="1"/>
  <c r="X12" s="1"/>
  <c r="Y11"/>
  <c r="AC11"/>
  <c r="AA11"/>
  <c r="X11"/>
  <c r="Z11"/>
  <c r="AE11"/>
  <c r="AF10" s="1"/>
  <c r="AB11"/>
  <c r="Z12"/>
  <c r="M13"/>
  <c r="L13"/>
  <c r="P13"/>
  <c r="K14"/>
  <c r="N13"/>
  <c r="O13"/>
  <c r="Q13"/>
  <c r="AD13"/>
  <c r="R13"/>
  <c r="S13"/>
  <c r="A10"/>
  <c r="E10"/>
  <c r="C10"/>
  <c r="F10"/>
  <c r="B10"/>
  <c r="J14"/>
  <c r="I14"/>
  <c r="D10"/>
  <c r="V13" l="1"/>
  <c r="AE13" s="1"/>
  <c r="W13"/>
  <c r="Y12"/>
  <c r="AA12"/>
  <c r="AC12"/>
  <c r="AB12"/>
  <c r="AE12"/>
  <c r="R14"/>
  <c r="S14"/>
  <c r="AD14"/>
  <c r="O14"/>
  <c r="P14"/>
  <c r="M14"/>
  <c r="Q14"/>
  <c r="L14"/>
  <c r="K15"/>
  <c r="N14"/>
  <c r="D11"/>
  <c r="C11"/>
  <c r="E11"/>
  <c r="A11"/>
  <c r="B11"/>
  <c r="D12"/>
  <c r="C12"/>
  <c r="I15"/>
  <c r="B12"/>
  <c r="A12"/>
  <c r="E12"/>
  <c r="Y13" l="1"/>
  <c r="AB13"/>
  <c r="AA13"/>
  <c r="Z13"/>
  <c r="V14"/>
  <c r="Z14" s="1"/>
  <c r="AC13"/>
  <c r="X13"/>
  <c r="W14"/>
  <c r="AF11"/>
  <c r="AF12"/>
  <c r="W15"/>
  <c r="AD15"/>
  <c r="R15"/>
  <c r="S15"/>
  <c r="J15"/>
  <c r="Y14" l="1"/>
  <c r="AB14"/>
  <c r="V15"/>
  <c r="AA15" s="1"/>
  <c r="X14"/>
  <c r="AA14"/>
  <c r="AC14"/>
  <c r="AE14"/>
  <c r="Q15"/>
  <c r="N15"/>
  <c r="P15"/>
  <c r="M15"/>
  <c r="K16"/>
  <c r="L15"/>
  <c r="O15"/>
  <c r="AE15"/>
  <c r="AF14" s="1"/>
  <c r="D13"/>
  <c r="B13"/>
  <c r="C13"/>
  <c r="E13"/>
  <c r="A13"/>
  <c r="W16" l="1"/>
  <c r="Z15"/>
  <c r="AF13"/>
  <c r="AB15"/>
  <c r="X15"/>
  <c r="AC15"/>
  <c r="Y15"/>
  <c r="H78" i="4"/>
  <c r="B14" i="3"/>
  <c r="I16"/>
  <c r="F12"/>
  <c r="A14"/>
  <c r="J16"/>
  <c r="F13"/>
  <c r="C14"/>
  <c r="F11"/>
  <c r="D14"/>
  <c r="E14"/>
  <c r="AJ4"/>
  <c r="F14"/>
  <c r="R16" l="1"/>
  <c r="AD16"/>
  <c r="S16"/>
  <c r="M16"/>
  <c r="N16"/>
  <c r="K17"/>
  <c r="P16"/>
  <c r="Q16"/>
  <c r="O16"/>
  <c r="L16"/>
  <c r="V16"/>
  <c r="AJ5"/>
  <c r="AA16" l="1"/>
  <c r="AC16"/>
  <c r="AE16"/>
  <c r="X16"/>
  <c r="Y16"/>
  <c r="AB16"/>
  <c r="W17"/>
  <c r="Z16"/>
  <c r="AJ6"/>
  <c r="AJ7" s="1"/>
  <c r="I17"/>
  <c r="J17"/>
  <c r="AD17" l="1"/>
  <c r="S17"/>
  <c r="R17"/>
  <c r="O17"/>
  <c r="Q17"/>
  <c r="K18"/>
  <c r="N17"/>
  <c r="P17"/>
  <c r="L17"/>
  <c r="M17"/>
  <c r="AF15"/>
  <c r="V17"/>
  <c r="C15"/>
  <c r="AJ8"/>
  <c r="F15"/>
  <c r="E15"/>
  <c r="B15"/>
  <c r="D15"/>
  <c r="A15"/>
  <c r="AA17" l="1"/>
  <c r="W18"/>
  <c r="X17"/>
  <c r="AE17"/>
  <c r="Z17"/>
  <c r="AC17"/>
  <c r="AB17"/>
  <c r="Y17"/>
  <c r="J18"/>
  <c r="I18"/>
  <c r="AJ9"/>
  <c r="AJ10" s="1"/>
  <c r="AJ11" s="1"/>
  <c r="AJ12" s="1"/>
  <c r="AJ13"/>
  <c r="P18" l="1"/>
  <c r="L18"/>
  <c r="M18"/>
  <c r="O18"/>
  <c r="Q18"/>
  <c r="N18"/>
  <c r="K19"/>
  <c r="R18"/>
  <c r="S18"/>
  <c r="AD18"/>
  <c r="AF16"/>
  <c r="V18"/>
  <c r="C16"/>
  <c r="A16"/>
  <c r="AJ14"/>
  <c r="D16"/>
  <c r="E16"/>
  <c r="F16"/>
  <c r="AJ15"/>
  <c r="B16"/>
  <c r="Z18" l="1"/>
  <c r="AA18"/>
  <c r="AE18"/>
  <c r="AC18"/>
  <c r="X18"/>
  <c r="AB18"/>
  <c r="W19"/>
  <c r="Y18"/>
  <c r="J19"/>
  <c r="I19"/>
  <c r="AJ16"/>
  <c r="P19" l="1"/>
  <c r="O19"/>
  <c r="M19"/>
  <c r="L19"/>
  <c r="K20"/>
  <c r="Q19"/>
  <c r="N19"/>
  <c r="S19"/>
  <c r="R19"/>
  <c r="AD19"/>
  <c r="AF17"/>
  <c r="V19"/>
  <c r="F17"/>
  <c r="D17"/>
  <c r="A17"/>
  <c r="E17"/>
  <c r="C17"/>
  <c r="B17"/>
  <c r="AJ17"/>
  <c r="AB19" l="1"/>
  <c r="AC19"/>
  <c r="AE19"/>
  <c r="X19"/>
  <c r="Z19"/>
  <c r="W20"/>
  <c r="AA19"/>
  <c r="Y19"/>
  <c r="I20"/>
  <c r="J20"/>
  <c r="AJ18"/>
  <c r="L20" l="1"/>
  <c r="N20"/>
  <c r="Q20"/>
  <c r="P20"/>
  <c r="O20"/>
  <c r="K21"/>
  <c r="M20"/>
  <c r="R20"/>
  <c r="AD20"/>
  <c r="S20"/>
  <c r="AF18"/>
  <c r="V20"/>
  <c r="F18"/>
  <c r="A18"/>
  <c r="AJ19"/>
  <c r="D18"/>
  <c r="C18"/>
  <c r="B18"/>
  <c r="E18"/>
  <c r="AB20" l="1"/>
  <c r="Y20"/>
  <c r="AC20"/>
  <c r="X20"/>
  <c r="Z20"/>
  <c r="AA20"/>
  <c r="W21"/>
  <c r="AE20"/>
  <c r="AJ20"/>
  <c r="I21"/>
  <c r="J21"/>
  <c r="N21" l="1"/>
  <c r="P21"/>
  <c r="O21"/>
  <c r="K22"/>
  <c r="M21"/>
  <c r="Q21"/>
  <c r="L21"/>
  <c r="S21"/>
  <c r="R21"/>
  <c r="AD21"/>
  <c r="AF19"/>
  <c r="V21"/>
  <c r="D19"/>
  <c r="C19"/>
  <c r="F19"/>
  <c r="E19"/>
  <c r="AJ21"/>
  <c r="A19"/>
  <c r="B19"/>
  <c r="Z21" l="1"/>
  <c r="W22"/>
  <c r="X21"/>
  <c r="AE21"/>
  <c r="AB21"/>
  <c r="Y21"/>
  <c r="AA21"/>
  <c r="AC21"/>
  <c r="J22"/>
  <c r="I22"/>
  <c r="N22" l="1"/>
  <c r="M22"/>
  <c r="P22"/>
  <c r="L22"/>
  <c r="Q22"/>
  <c r="O22"/>
  <c r="K23"/>
  <c r="S22"/>
  <c r="R22"/>
  <c r="AD22"/>
  <c r="AF20"/>
  <c r="V22"/>
  <c r="F20"/>
  <c r="C20"/>
  <c r="A20"/>
  <c r="D20"/>
  <c r="E20"/>
  <c r="AJ22"/>
  <c r="B20"/>
  <c r="Z22" l="1"/>
  <c r="AE22"/>
  <c r="Y22"/>
  <c r="AA22"/>
  <c r="AB22"/>
  <c r="AC22"/>
  <c r="X22"/>
  <c r="W23"/>
  <c r="I23"/>
  <c r="J23"/>
  <c r="K24" l="1"/>
  <c r="M23"/>
  <c r="N23"/>
  <c r="O23"/>
  <c r="Q23"/>
  <c r="P23"/>
  <c r="L23"/>
  <c r="S23"/>
  <c r="AD23"/>
  <c r="R23"/>
  <c r="AF21"/>
  <c r="V23"/>
  <c r="F21"/>
  <c r="B21"/>
  <c r="AJ23"/>
  <c r="A21"/>
  <c r="E21"/>
  <c r="C21"/>
  <c r="D21"/>
  <c r="AC23" l="1"/>
  <c r="Y23"/>
  <c r="AB23"/>
  <c r="W24"/>
  <c r="AE23"/>
  <c r="AA23"/>
  <c r="Z23"/>
  <c r="X23"/>
  <c r="J24"/>
  <c r="I24"/>
  <c r="R24" l="1"/>
  <c r="AD24"/>
  <c r="S24"/>
  <c r="K25"/>
  <c r="L24"/>
  <c r="Q24"/>
  <c r="P24"/>
  <c r="O24"/>
  <c r="M24"/>
  <c r="N24"/>
  <c r="AF22"/>
  <c r="V24"/>
  <c r="F22"/>
  <c r="D22"/>
  <c r="A22"/>
  <c r="AJ24"/>
  <c r="C22"/>
  <c r="B22"/>
  <c r="E22"/>
  <c r="Z24" l="1"/>
  <c r="W25"/>
  <c r="AB24"/>
  <c r="Y24"/>
  <c r="X24"/>
  <c r="AE24"/>
  <c r="AA24"/>
  <c r="AC24"/>
  <c r="I25"/>
  <c r="J25"/>
  <c r="S25" l="1"/>
  <c r="R25"/>
  <c r="AD25"/>
  <c r="Q25"/>
  <c r="O25"/>
  <c r="K26"/>
  <c r="P25"/>
  <c r="L25"/>
  <c r="N25"/>
  <c r="M25"/>
  <c r="AF23"/>
  <c r="V25"/>
  <c r="F23"/>
  <c r="AJ25"/>
  <c r="C23"/>
  <c r="D23"/>
  <c r="E23"/>
  <c r="A23"/>
  <c r="B23"/>
  <c r="AC25" l="1"/>
  <c r="W26"/>
  <c r="Z25"/>
  <c r="Y25"/>
  <c r="AE25"/>
  <c r="AA25"/>
  <c r="AB25"/>
  <c r="X25"/>
  <c r="J26"/>
  <c r="I26"/>
  <c r="AD26" l="1"/>
  <c r="R26"/>
  <c r="S26"/>
  <c r="L26"/>
  <c r="K27"/>
  <c r="Q26"/>
  <c r="P26"/>
  <c r="O26"/>
  <c r="M26"/>
  <c r="N26"/>
  <c r="AF24"/>
  <c r="V26"/>
  <c r="F24"/>
  <c r="C24"/>
  <c r="E24"/>
  <c r="D24"/>
  <c r="A24"/>
  <c r="AJ26"/>
  <c r="B24"/>
  <c r="Y26" l="1"/>
  <c r="AE26"/>
  <c r="AC26"/>
  <c r="AB26"/>
  <c r="W27"/>
  <c r="X26"/>
  <c r="AA26"/>
  <c r="Z26"/>
  <c r="J27"/>
  <c r="I27"/>
  <c r="AD27" l="1"/>
  <c r="S27"/>
  <c r="R27"/>
  <c r="N27"/>
  <c r="M27"/>
  <c r="L27"/>
  <c r="P27"/>
  <c r="Q27"/>
  <c r="K28"/>
  <c r="O27"/>
  <c r="AF25"/>
  <c r="V27"/>
  <c r="D25"/>
  <c r="B25"/>
  <c r="AJ27"/>
  <c r="F25"/>
  <c r="C25"/>
  <c r="E25"/>
  <c r="A25"/>
  <c r="Z27" l="1"/>
  <c r="Y27"/>
  <c r="AA27"/>
  <c r="AB27"/>
  <c r="AC27"/>
  <c r="AE27"/>
  <c r="W28"/>
  <c r="X27"/>
  <c r="J28"/>
  <c r="I28"/>
  <c r="AD28" l="1"/>
  <c r="S28"/>
  <c r="R28"/>
  <c r="K29"/>
  <c r="P28"/>
  <c r="M28"/>
  <c r="Q28"/>
  <c r="L28"/>
  <c r="N28"/>
  <c r="O28"/>
  <c r="AF26"/>
  <c r="V28"/>
  <c r="B26"/>
  <c r="AJ28"/>
  <c r="A26"/>
  <c r="E26"/>
  <c r="D26"/>
  <c r="C26"/>
  <c r="F26"/>
  <c r="Z28" l="1"/>
  <c r="AB28"/>
  <c r="W29"/>
  <c r="AE28"/>
  <c r="AA28"/>
  <c r="Y28"/>
  <c r="X28"/>
  <c r="AC28"/>
  <c r="I29"/>
  <c r="J29"/>
  <c r="K30" l="1"/>
  <c r="N29"/>
  <c r="L29"/>
  <c r="Q29"/>
  <c r="P29"/>
  <c r="M29"/>
  <c r="O29"/>
  <c r="AD29"/>
  <c r="S29"/>
  <c r="R29"/>
  <c r="AF27"/>
  <c r="V29"/>
  <c r="F27"/>
  <c r="E27"/>
  <c r="AJ29"/>
  <c r="D27"/>
  <c r="A27"/>
  <c r="C27"/>
  <c r="B27"/>
  <c r="AA29" l="1"/>
  <c r="AC29"/>
  <c r="W30"/>
  <c r="Y29"/>
  <c r="X29"/>
  <c r="AE29"/>
  <c r="AB29"/>
  <c r="Z29"/>
  <c r="J30"/>
  <c r="I30"/>
  <c r="R30" l="1"/>
  <c r="S30"/>
  <c r="AD30"/>
  <c r="P30"/>
  <c r="K31"/>
  <c r="L30"/>
  <c r="Q30"/>
  <c r="N30"/>
  <c r="O30"/>
  <c r="M30"/>
  <c r="AF28"/>
  <c r="V30"/>
  <c r="F28"/>
  <c r="E28"/>
  <c r="AJ30"/>
  <c r="C28"/>
  <c r="A28"/>
  <c r="B28"/>
  <c r="D28"/>
  <c r="X30" l="1"/>
  <c r="AA30"/>
  <c r="AB30"/>
  <c r="AC30"/>
  <c r="Z30"/>
  <c r="W31"/>
  <c r="AE30"/>
  <c r="Y30"/>
  <c r="I31"/>
  <c r="J31"/>
  <c r="M31" l="1"/>
  <c r="P31"/>
  <c r="K32"/>
  <c r="Q31"/>
  <c r="N31"/>
  <c r="O31"/>
  <c r="L31"/>
  <c r="AD31"/>
  <c r="R31"/>
  <c r="S31"/>
  <c r="AF29"/>
  <c r="V31"/>
  <c r="F29"/>
  <c r="B29"/>
  <c r="AJ31"/>
  <c r="D29"/>
  <c r="A29"/>
  <c r="C29"/>
  <c r="E29"/>
  <c r="Y31" l="1"/>
  <c r="AA31"/>
  <c r="AC31"/>
  <c r="X31"/>
  <c r="AE31"/>
  <c r="AB31"/>
  <c r="Z31"/>
  <c r="W32"/>
  <c r="J32"/>
  <c r="I32"/>
  <c r="AD32" l="1"/>
  <c r="S32"/>
  <c r="R32"/>
  <c r="P32"/>
  <c r="N32"/>
  <c r="K33"/>
  <c r="L32"/>
  <c r="M32"/>
  <c r="Q32"/>
  <c r="O32"/>
  <c r="AF30"/>
  <c r="V32"/>
  <c r="E30"/>
  <c r="F30"/>
  <c r="B30"/>
  <c r="A30"/>
  <c r="AJ32"/>
  <c r="D30"/>
  <c r="C30"/>
  <c r="W33" l="1"/>
  <c r="AA32"/>
  <c r="AE32"/>
  <c r="X32"/>
  <c r="AB32"/>
  <c r="AC32"/>
  <c r="Z32"/>
  <c r="Y32"/>
  <c r="J33"/>
  <c r="I33"/>
  <c r="S33" l="1"/>
  <c r="AD33"/>
  <c r="R33"/>
  <c r="Q33"/>
  <c r="L33"/>
  <c r="N33"/>
  <c r="O33"/>
  <c r="K34"/>
  <c r="P33"/>
  <c r="M33"/>
  <c r="AF31"/>
  <c r="V33"/>
  <c r="C31"/>
  <c r="B31"/>
  <c r="F31"/>
  <c r="A31"/>
  <c r="E31"/>
  <c r="AJ33"/>
  <c r="D31"/>
  <c r="AB33" l="1"/>
  <c r="AC33"/>
  <c r="Y33"/>
  <c r="Z33"/>
  <c r="AE33"/>
  <c r="W34"/>
  <c r="X33"/>
  <c r="AA33"/>
  <c r="J34"/>
  <c r="I34"/>
  <c r="R34" l="1"/>
  <c r="S34"/>
  <c r="AD34"/>
  <c r="K35"/>
  <c r="Q34"/>
  <c r="M34"/>
  <c r="N34"/>
  <c r="L34"/>
  <c r="O34"/>
  <c r="P34"/>
  <c r="AF32"/>
  <c r="V34"/>
  <c r="F32"/>
  <c r="AJ34"/>
  <c r="D32"/>
  <c r="C32"/>
  <c r="E32"/>
  <c r="B32"/>
  <c r="A32"/>
  <c r="Z34" l="1"/>
  <c r="AA34"/>
  <c r="AE34"/>
  <c r="Y34"/>
  <c r="AB34"/>
  <c r="X34"/>
  <c r="W35"/>
  <c r="AC34"/>
  <c r="I35"/>
  <c r="J35"/>
  <c r="K36" l="1"/>
  <c r="M35"/>
  <c r="L35"/>
  <c r="P35"/>
  <c r="Q35"/>
  <c r="O35"/>
  <c r="N35"/>
  <c r="R35"/>
  <c r="AD35"/>
  <c r="S35"/>
  <c r="AF33"/>
  <c r="V35"/>
  <c r="F33"/>
  <c r="B33"/>
  <c r="A33"/>
  <c r="D33"/>
  <c r="C33"/>
  <c r="E33"/>
  <c r="AJ35"/>
  <c r="AC35" l="1"/>
  <c r="W36"/>
  <c r="AB35"/>
  <c r="Y35"/>
  <c r="X35"/>
  <c r="AE35"/>
  <c r="AA35"/>
  <c r="Z35"/>
  <c r="I36"/>
  <c r="J36"/>
  <c r="K37" l="1"/>
  <c r="M36"/>
  <c r="L36"/>
  <c r="O36"/>
  <c r="P36"/>
  <c r="N36"/>
  <c r="Q36"/>
  <c r="AD36"/>
  <c r="S36"/>
  <c r="R36"/>
  <c r="AF34"/>
  <c r="V36"/>
  <c r="A34"/>
  <c r="C34"/>
  <c r="E34"/>
  <c r="D34"/>
  <c r="F34"/>
  <c r="B34"/>
  <c r="AJ36"/>
  <c r="AA36" l="1"/>
  <c r="Y36"/>
  <c r="W37"/>
  <c r="AC36"/>
  <c r="X36"/>
  <c r="AE36"/>
  <c r="AB36"/>
  <c r="Z36"/>
  <c r="I37"/>
  <c r="J37"/>
  <c r="K38" l="1"/>
  <c r="M37"/>
  <c r="L37"/>
  <c r="N37"/>
  <c r="O37"/>
  <c r="Q37"/>
  <c r="P37"/>
  <c r="S37"/>
  <c r="R37"/>
  <c r="AD37"/>
  <c r="AF35"/>
  <c r="V37"/>
  <c r="F35"/>
  <c r="E35"/>
  <c r="A35"/>
  <c r="C35"/>
  <c r="B35"/>
  <c r="D35"/>
  <c r="AJ37"/>
  <c r="AE37" l="1"/>
  <c r="Y37"/>
  <c r="AB37"/>
  <c r="AC37"/>
  <c r="AA37"/>
  <c r="W38"/>
  <c r="X37"/>
  <c r="Z37"/>
  <c r="J38"/>
  <c r="I38"/>
  <c r="AD38" l="1"/>
  <c r="S38"/>
  <c r="R38"/>
  <c r="K39"/>
  <c r="N38"/>
  <c r="Q38"/>
  <c r="P38"/>
  <c r="O38"/>
  <c r="L38"/>
  <c r="M38"/>
  <c r="AF36"/>
  <c r="V38"/>
  <c r="E36"/>
  <c r="D36"/>
  <c r="F36"/>
  <c r="A36"/>
  <c r="B36"/>
  <c r="AJ38"/>
  <c r="C36"/>
  <c r="X38" l="1"/>
  <c r="Z38"/>
  <c r="W39"/>
  <c r="AB38"/>
  <c r="AA38"/>
  <c r="AC38"/>
  <c r="AE38"/>
  <c r="Y38"/>
  <c r="I39"/>
  <c r="J39"/>
  <c r="N39" l="1"/>
  <c r="L39"/>
  <c r="Q39"/>
  <c r="M39"/>
  <c r="P39"/>
  <c r="O39"/>
  <c r="K40"/>
  <c r="R39"/>
  <c r="S39"/>
  <c r="AD39"/>
  <c r="AF37"/>
  <c r="V39"/>
  <c r="C37"/>
  <c r="B37"/>
  <c r="F37"/>
  <c r="D37"/>
  <c r="A37"/>
  <c r="E37"/>
  <c r="AJ39"/>
  <c r="Y39" l="1"/>
  <c r="Z39"/>
  <c r="AC39"/>
  <c r="AA39"/>
  <c r="AE39"/>
  <c r="AB39"/>
  <c r="X39"/>
  <c r="W40"/>
  <c r="I40"/>
  <c r="J40"/>
  <c r="L40" l="1"/>
  <c r="O40"/>
  <c r="Q40"/>
  <c r="M40"/>
  <c r="P40"/>
  <c r="N40"/>
  <c r="K41"/>
  <c r="S40"/>
  <c r="R40"/>
  <c r="AD40"/>
  <c r="AF38"/>
  <c r="V40"/>
  <c r="C38"/>
  <c r="A38"/>
  <c r="D38"/>
  <c r="F38"/>
  <c r="E38"/>
  <c r="AJ40"/>
  <c r="B38"/>
  <c r="W41" l="1"/>
  <c r="AA40"/>
  <c r="AE40"/>
  <c r="Z40"/>
  <c r="Y40"/>
  <c r="AB40"/>
  <c r="AC40"/>
  <c r="X40"/>
  <c r="I41"/>
  <c r="J41"/>
  <c r="M41" l="1"/>
  <c r="N41"/>
  <c r="Q41"/>
  <c r="L41"/>
  <c r="P41"/>
  <c r="O41"/>
  <c r="K42"/>
  <c r="AD41"/>
  <c r="S41"/>
  <c r="R41"/>
  <c r="AF39"/>
  <c r="V41"/>
  <c r="F39"/>
  <c r="B39"/>
  <c r="E39"/>
  <c r="C39"/>
  <c r="A39"/>
  <c r="AJ41"/>
  <c r="D39"/>
  <c r="Y41" l="1"/>
  <c r="X41"/>
  <c r="W42"/>
  <c r="AA41"/>
  <c r="AC41"/>
  <c r="AE41"/>
  <c r="Z41"/>
  <c r="AB41"/>
  <c r="I42"/>
  <c r="J42"/>
  <c r="K43" l="1"/>
  <c r="L42"/>
  <c r="M42"/>
  <c r="N42"/>
  <c r="P42"/>
  <c r="Q42"/>
  <c r="O42"/>
  <c r="AD42"/>
  <c r="S42"/>
  <c r="R42"/>
  <c r="AF40"/>
  <c r="V42"/>
  <c r="C40"/>
  <c r="B40"/>
  <c r="F40"/>
  <c r="AJ42"/>
  <c r="A40"/>
  <c r="D40"/>
  <c r="E40"/>
  <c r="AB42" l="1"/>
  <c r="W43"/>
  <c r="Y42"/>
  <c r="AA42"/>
  <c r="X42"/>
  <c r="AE42"/>
  <c r="AC42"/>
  <c r="Z42"/>
  <c r="I43"/>
  <c r="J43"/>
  <c r="AD43" l="1"/>
  <c r="S43"/>
  <c r="R43"/>
  <c r="K44"/>
  <c r="L43"/>
  <c r="P43"/>
  <c r="O43"/>
  <c r="Q43"/>
  <c r="N43"/>
  <c r="M43"/>
  <c r="AF41"/>
  <c r="V43"/>
  <c r="C41"/>
  <c r="A41"/>
  <c r="B41"/>
  <c r="D41"/>
  <c r="F41"/>
  <c r="E41"/>
  <c r="AJ43"/>
  <c r="AC43" l="1"/>
  <c r="Z43"/>
  <c r="AA43"/>
  <c r="Y43"/>
  <c r="AE43"/>
  <c r="AB43"/>
  <c r="W44"/>
  <c r="X43"/>
  <c r="J44"/>
  <c r="I44"/>
  <c r="R44" l="1"/>
  <c r="AD44"/>
  <c r="S44"/>
  <c r="L44"/>
  <c r="P44"/>
  <c r="N44"/>
  <c r="Q44"/>
  <c r="K45"/>
  <c r="O44"/>
  <c r="M44"/>
  <c r="C42"/>
  <c r="AF42"/>
  <c r="B42"/>
  <c r="D42"/>
  <c r="E42"/>
  <c r="A42"/>
  <c r="F42"/>
  <c r="V44"/>
  <c r="AJ44"/>
  <c r="AB44" l="1"/>
  <c r="AC44"/>
  <c r="AE44"/>
  <c r="Y44"/>
  <c r="X44"/>
  <c r="Z44"/>
  <c r="W45"/>
  <c r="AA44"/>
  <c r="I45"/>
  <c r="J45"/>
  <c r="K46" l="1"/>
  <c r="Q45"/>
  <c r="M45"/>
  <c r="O45"/>
  <c r="N45"/>
  <c r="P45"/>
  <c r="L45"/>
  <c r="AD45"/>
  <c r="S45"/>
  <c r="R45"/>
  <c r="AF43"/>
  <c r="B43"/>
  <c r="C43"/>
  <c r="F43"/>
  <c r="A43"/>
  <c r="E43"/>
  <c r="D43"/>
  <c r="V45"/>
  <c r="AJ45"/>
  <c r="AE45" l="1"/>
  <c r="AC45"/>
  <c r="AA45"/>
  <c r="X45"/>
  <c r="W46"/>
  <c r="Y45"/>
  <c r="AB45"/>
  <c r="Z45"/>
  <c r="J46"/>
  <c r="I46"/>
  <c r="AD46" l="1"/>
  <c r="R46"/>
  <c r="S46"/>
  <c r="K47"/>
  <c r="P46"/>
  <c r="N46"/>
  <c r="Q46"/>
  <c r="O46"/>
  <c r="M46"/>
  <c r="L46"/>
  <c r="AF44"/>
  <c r="C44"/>
  <c r="F44"/>
  <c r="E44"/>
  <c r="A44"/>
  <c r="D44"/>
  <c r="B44"/>
  <c r="AJ46"/>
  <c r="V46"/>
  <c r="AC46" l="1"/>
  <c r="Z46"/>
  <c r="AE46"/>
  <c r="AB46"/>
  <c r="X46"/>
  <c r="Y46"/>
  <c r="AA46"/>
  <c r="W47"/>
  <c r="I47"/>
  <c r="J47"/>
  <c r="Q47" l="1"/>
  <c r="L47"/>
  <c r="K48"/>
  <c r="P47"/>
  <c r="O47"/>
  <c r="N47"/>
  <c r="M47"/>
  <c r="S47"/>
  <c r="AD47"/>
  <c r="R47"/>
  <c r="AF45"/>
  <c r="D45"/>
  <c r="A45"/>
  <c r="E45"/>
  <c r="V47"/>
  <c r="C45"/>
  <c r="B45"/>
  <c r="F45"/>
  <c r="AJ47"/>
  <c r="AE47" l="1"/>
  <c r="Y47"/>
  <c r="AB47"/>
  <c r="AA47"/>
  <c r="X47"/>
  <c r="Z47"/>
  <c r="W48"/>
  <c r="AC47"/>
  <c r="J48"/>
  <c r="I48"/>
  <c r="R48" l="1"/>
  <c r="S48"/>
  <c r="AD48"/>
  <c r="K49"/>
  <c r="O48"/>
  <c r="N48"/>
  <c r="Q48"/>
  <c r="P48"/>
  <c r="M48"/>
  <c r="L48"/>
  <c r="C46"/>
  <c r="E46"/>
  <c r="D46"/>
  <c r="AF46"/>
  <c r="B46"/>
  <c r="A46"/>
  <c r="F46"/>
  <c r="AJ48"/>
  <c r="V48"/>
  <c r="AA48" l="1"/>
  <c r="Z48"/>
  <c r="Y48"/>
  <c r="AE48"/>
  <c r="AB48"/>
  <c r="AC48"/>
  <c r="X48"/>
  <c r="W49"/>
  <c r="J49"/>
  <c r="I49"/>
  <c r="K50" l="1"/>
  <c r="O49"/>
  <c r="L49"/>
  <c r="M49"/>
  <c r="P49"/>
  <c r="N49"/>
  <c r="Q49"/>
  <c r="R49"/>
  <c r="S49"/>
  <c r="AD49"/>
  <c r="B47"/>
  <c r="D47"/>
  <c r="AF47"/>
  <c r="E47"/>
  <c r="C47"/>
  <c r="A47"/>
  <c r="F47"/>
  <c r="V49"/>
  <c r="AJ49"/>
  <c r="Y49" l="1"/>
  <c r="X49"/>
  <c r="W50"/>
  <c r="AC49"/>
  <c r="Z49"/>
  <c r="AB49"/>
  <c r="AE49"/>
  <c r="AA49"/>
  <c r="I50"/>
  <c r="J50"/>
  <c r="K51" l="1"/>
  <c r="Q50"/>
  <c r="O50"/>
  <c r="N50"/>
  <c r="P50"/>
  <c r="M50"/>
  <c r="L50"/>
  <c r="R50"/>
  <c r="AD50"/>
  <c r="S50"/>
  <c r="C48"/>
  <c r="D48"/>
  <c r="B48"/>
  <c r="AF48"/>
  <c r="E48"/>
  <c r="A48"/>
  <c r="F48"/>
  <c r="AJ50"/>
  <c r="V50"/>
  <c r="X50" l="1"/>
  <c r="Z50"/>
  <c r="Y50"/>
  <c r="AC50"/>
  <c r="AE50"/>
  <c r="AB50"/>
  <c r="W51"/>
  <c r="AA50"/>
  <c r="I51"/>
  <c r="J51"/>
  <c r="K52" l="1"/>
  <c r="O51"/>
  <c r="M51"/>
  <c r="Q51"/>
  <c r="P51"/>
  <c r="N51"/>
  <c r="L51"/>
  <c r="AD51"/>
  <c r="R51"/>
  <c r="S51"/>
  <c r="D49"/>
  <c r="B49"/>
  <c r="E49"/>
  <c r="F49"/>
  <c r="AF49"/>
  <c r="C49"/>
  <c r="A49"/>
  <c r="AJ51"/>
  <c r="V51"/>
  <c r="AA51" l="1"/>
  <c r="W52"/>
  <c r="X51"/>
  <c r="AB51"/>
  <c r="Y51"/>
  <c r="AC51"/>
  <c r="AE51"/>
  <c r="Z51"/>
  <c r="I52"/>
  <c r="J52"/>
  <c r="K53" l="1"/>
  <c r="O52"/>
  <c r="P52"/>
  <c r="L52"/>
  <c r="M52"/>
  <c r="N52"/>
  <c r="Q52"/>
  <c r="S52"/>
  <c r="AD52"/>
  <c r="R52"/>
  <c r="B50"/>
  <c r="F50"/>
  <c r="AF50"/>
  <c r="D50"/>
  <c r="C50"/>
  <c r="E50"/>
  <c r="A50"/>
  <c r="V52"/>
  <c r="AJ52"/>
  <c r="AB52" l="1"/>
  <c r="AA52"/>
  <c r="AC52"/>
  <c r="Z52"/>
  <c r="Y52"/>
  <c r="AE52"/>
  <c r="X52"/>
  <c r="W53"/>
  <c r="J53"/>
  <c r="I53"/>
  <c r="AD53" l="1"/>
  <c r="R53"/>
  <c r="S53"/>
  <c r="K54"/>
  <c r="N53"/>
  <c r="L53"/>
  <c r="M53"/>
  <c r="O53"/>
  <c r="Q53"/>
  <c r="P53"/>
  <c r="D51"/>
  <c r="E51"/>
  <c r="AF51"/>
  <c r="B51"/>
  <c r="F51"/>
  <c r="C51"/>
  <c r="A51"/>
  <c r="V53"/>
  <c r="AJ53"/>
  <c r="Y53" l="1"/>
  <c r="AB53"/>
  <c r="X53"/>
  <c r="AC53"/>
  <c r="AA53"/>
  <c r="Z53"/>
  <c r="AE53"/>
  <c r="W54"/>
  <c r="J54"/>
  <c r="I54"/>
  <c r="AD54" l="1"/>
  <c r="R54"/>
  <c r="S54"/>
  <c r="K55"/>
  <c r="M54"/>
  <c r="L54"/>
  <c r="N54"/>
  <c r="P54"/>
  <c r="O54"/>
  <c r="Q54"/>
  <c r="D52"/>
  <c r="C52"/>
  <c r="E52"/>
  <c r="AF52"/>
  <c r="B52"/>
  <c r="F52"/>
  <c r="A52"/>
  <c r="V54"/>
  <c r="AJ54"/>
  <c r="W55" l="1"/>
  <c r="AE54"/>
  <c r="X54"/>
  <c r="AC54"/>
  <c r="AA54"/>
  <c r="Y54"/>
  <c r="AB54"/>
  <c r="Z54"/>
  <c r="I55"/>
  <c r="J55"/>
  <c r="R55" l="1"/>
  <c r="S55"/>
  <c r="AD55"/>
  <c r="K56"/>
  <c r="O55"/>
  <c r="Q55"/>
  <c r="L55"/>
  <c r="M55"/>
  <c r="N55"/>
  <c r="P55"/>
  <c r="C53"/>
  <c r="E53"/>
  <c r="D53"/>
  <c r="AF53"/>
  <c r="B53"/>
  <c r="F53"/>
  <c r="A53"/>
  <c r="V55"/>
  <c r="AJ55"/>
  <c r="AE55" l="1"/>
  <c r="Z55"/>
  <c r="AA55"/>
  <c r="Y55"/>
  <c r="W56"/>
  <c r="AC55"/>
  <c r="AB55"/>
  <c r="X55"/>
  <c r="J56"/>
  <c r="I56"/>
  <c r="AD56" l="1"/>
  <c r="R56"/>
  <c r="S56"/>
  <c r="K57"/>
  <c r="O56"/>
  <c r="Q56"/>
  <c r="L56"/>
  <c r="M56"/>
  <c r="N56"/>
  <c r="P56"/>
  <c r="E54"/>
  <c r="B54"/>
  <c r="AF54"/>
  <c r="F54"/>
  <c r="C54"/>
  <c r="D54"/>
  <c r="A54"/>
  <c r="V56"/>
  <c r="AJ56"/>
  <c r="X56" l="1"/>
  <c r="AA56"/>
  <c r="Z56"/>
  <c r="AC56"/>
  <c r="AB56"/>
  <c r="AE56"/>
  <c r="W57"/>
  <c r="Y56"/>
  <c r="J57"/>
  <c r="I57"/>
  <c r="K58" l="1"/>
  <c r="N57"/>
  <c r="O57"/>
  <c r="Q57"/>
  <c r="P57"/>
  <c r="M57"/>
  <c r="L57"/>
  <c r="S57"/>
  <c r="AD57"/>
  <c r="R57"/>
  <c r="F55"/>
  <c r="E55"/>
  <c r="AF55"/>
  <c r="D55"/>
  <c r="C55"/>
  <c r="B55"/>
  <c r="A55"/>
  <c r="AJ57"/>
  <c r="V57"/>
  <c r="AC57" l="1"/>
  <c r="Y57"/>
  <c r="X57"/>
  <c r="AB57"/>
  <c r="W58"/>
  <c r="AA57"/>
  <c r="Z57"/>
  <c r="AE57"/>
  <c r="I58"/>
  <c r="J58"/>
  <c r="AD58" l="1"/>
  <c r="R58"/>
  <c r="S58"/>
  <c r="K59"/>
  <c r="M58"/>
  <c r="Q58"/>
  <c r="O58"/>
  <c r="P58"/>
  <c r="N58"/>
  <c r="L58"/>
  <c r="B56"/>
  <c r="D56"/>
  <c r="AF56"/>
  <c r="F56"/>
  <c r="C56"/>
  <c r="E56"/>
  <c r="A56"/>
  <c r="V58"/>
  <c r="AJ58"/>
  <c r="Z58" l="1"/>
  <c r="AA58"/>
  <c r="AC58"/>
  <c r="W59"/>
  <c r="X58"/>
  <c r="Y58"/>
  <c r="AE58"/>
  <c r="AB58"/>
  <c r="I59"/>
  <c r="J59"/>
  <c r="K60" l="1"/>
  <c r="M59"/>
  <c r="O59"/>
  <c r="P59"/>
  <c r="N59"/>
  <c r="Q59"/>
  <c r="L59"/>
  <c r="AD59"/>
  <c r="R59"/>
  <c r="S59"/>
  <c r="B57"/>
  <c r="D57"/>
  <c r="AF57"/>
  <c r="F57"/>
  <c r="E57"/>
  <c r="C57"/>
  <c r="A57"/>
  <c r="AJ59"/>
  <c r="V59"/>
  <c r="AE59" l="1"/>
  <c r="X59"/>
  <c r="Z59"/>
  <c r="AC59"/>
  <c r="W60"/>
  <c r="AA59"/>
  <c r="AB59"/>
  <c r="Y59"/>
  <c r="J60"/>
  <c r="I60"/>
  <c r="AD60" l="1"/>
  <c r="R60"/>
  <c r="S60"/>
  <c r="K61"/>
  <c r="L60"/>
  <c r="O60"/>
  <c r="M60"/>
  <c r="N60"/>
  <c r="P60"/>
  <c r="Q60"/>
  <c r="D58"/>
  <c r="C58"/>
  <c r="AF58"/>
  <c r="B58"/>
  <c r="F58"/>
  <c r="E58"/>
  <c r="A58"/>
  <c r="V60"/>
  <c r="AJ60"/>
  <c r="AB60" l="1"/>
  <c r="Z60"/>
  <c r="AE60"/>
  <c r="X60"/>
  <c r="AC60"/>
  <c r="AA60"/>
  <c r="W61"/>
  <c r="Y60"/>
  <c r="I61"/>
  <c r="J61"/>
  <c r="K62" l="1"/>
  <c r="O61"/>
  <c r="L61"/>
  <c r="N61"/>
  <c r="P61"/>
  <c r="Q61"/>
  <c r="M61"/>
  <c r="AD61"/>
  <c r="S61"/>
  <c r="R61"/>
  <c r="C59"/>
  <c r="F59"/>
  <c r="E59"/>
  <c r="AF59"/>
  <c r="B59"/>
  <c r="D59"/>
  <c r="A59"/>
  <c r="V61"/>
  <c r="AJ61"/>
  <c r="W62" l="1"/>
  <c r="AE61"/>
  <c r="Z61"/>
  <c r="AB61"/>
  <c r="X61"/>
  <c r="AA61"/>
  <c r="AC61"/>
  <c r="Y61"/>
  <c r="I62"/>
  <c r="J62"/>
  <c r="K63" l="1"/>
  <c r="Q62"/>
  <c r="L62"/>
  <c r="O62"/>
  <c r="M62"/>
  <c r="N62"/>
  <c r="P62"/>
  <c r="R62"/>
  <c r="S62"/>
  <c r="AD62"/>
  <c r="C60"/>
  <c r="B60"/>
  <c r="AF60"/>
  <c r="F60"/>
  <c r="D60"/>
  <c r="E60"/>
  <c r="A60"/>
  <c r="V62"/>
  <c r="AJ62"/>
  <c r="AE62" l="1"/>
  <c r="W63"/>
  <c r="AB62"/>
  <c r="Z62"/>
  <c r="X62"/>
  <c r="AA62"/>
  <c r="AC62"/>
  <c r="Y62"/>
  <c r="J63"/>
  <c r="I63"/>
  <c r="S63" l="1"/>
  <c r="R63"/>
  <c r="AD63"/>
  <c r="K64"/>
  <c r="N63"/>
  <c r="O63"/>
  <c r="Q63"/>
  <c r="P63"/>
  <c r="L63"/>
  <c r="M63"/>
  <c r="C61"/>
  <c r="E61"/>
  <c r="AF61"/>
  <c r="B61"/>
  <c r="F61"/>
  <c r="D61"/>
  <c r="A61"/>
  <c r="V63"/>
  <c r="AJ63"/>
  <c r="AB63" l="1"/>
  <c r="Z63"/>
  <c r="AC63"/>
  <c r="W64"/>
  <c r="AE63"/>
  <c r="X63"/>
  <c r="AA63"/>
  <c r="Y63"/>
  <c r="J64"/>
  <c r="I64"/>
  <c r="S64" l="1"/>
  <c r="AD64"/>
  <c r="R64"/>
  <c r="M64"/>
  <c r="P64"/>
  <c r="Q64"/>
  <c r="N64"/>
  <c r="K65"/>
  <c r="L64"/>
  <c r="O64"/>
  <c r="E62"/>
  <c r="AF62"/>
  <c r="C62"/>
  <c r="F62"/>
  <c r="D62"/>
  <c r="B62"/>
  <c r="A62"/>
  <c r="AJ64"/>
  <c r="V64"/>
  <c r="Y64" l="1"/>
  <c r="AB64"/>
  <c r="AC64"/>
  <c r="X64"/>
  <c r="AA64"/>
  <c r="AE64"/>
  <c r="Z64"/>
  <c r="W65"/>
  <c r="J65"/>
  <c r="I65"/>
  <c r="AD65" l="1"/>
  <c r="R65"/>
  <c r="S65"/>
  <c r="K66"/>
  <c r="M65"/>
  <c r="N65"/>
  <c r="P65"/>
  <c r="Q65"/>
  <c r="O65"/>
  <c r="L65"/>
  <c r="C63"/>
  <c r="B63"/>
  <c r="AF63"/>
  <c r="E63"/>
  <c r="F63"/>
  <c r="D63"/>
  <c r="A63"/>
  <c r="V65"/>
  <c r="AJ65"/>
  <c r="Z65" l="1"/>
  <c r="AC65"/>
  <c r="W66"/>
  <c r="Y65"/>
  <c r="AB65"/>
  <c r="AA65"/>
  <c r="AE65"/>
  <c r="X65"/>
  <c r="J66"/>
  <c r="I66"/>
  <c r="S66" l="1"/>
  <c r="AD66"/>
  <c r="R66"/>
  <c r="K67"/>
  <c r="Q66"/>
  <c r="N66"/>
  <c r="M66"/>
  <c r="O66"/>
  <c r="P66"/>
  <c r="L66"/>
  <c r="D64"/>
  <c r="E64"/>
  <c r="AF64"/>
  <c r="C64"/>
  <c r="B64"/>
  <c r="F64"/>
  <c r="A64"/>
  <c r="V66"/>
  <c r="AJ66"/>
  <c r="AA66" l="1"/>
  <c r="AC66"/>
  <c r="AE66"/>
  <c r="Y66"/>
  <c r="W67"/>
  <c r="AB66"/>
  <c r="Z66"/>
  <c r="X66"/>
  <c r="I67"/>
  <c r="J67"/>
  <c r="K68" l="1"/>
  <c r="O67"/>
  <c r="P67"/>
  <c r="N67"/>
  <c r="M67"/>
  <c r="Q67"/>
  <c r="L67"/>
  <c r="S67"/>
  <c r="R67"/>
  <c r="AD67"/>
  <c r="E65"/>
  <c r="B65"/>
  <c r="AF65"/>
  <c r="F65"/>
  <c r="D65"/>
  <c r="C65"/>
  <c r="A65"/>
  <c r="V67"/>
  <c r="AJ67"/>
  <c r="AA67" l="1"/>
  <c r="AC67"/>
  <c r="X67"/>
  <c r="Y67"/>
  <c r="Z67"/>
  <c r="AE67"/>
  <c r="AB67"/>
  <c r="W68"/>
  <c r="J68"/>
  <c r="I68"/>
  <c r="K69" l="1"/>
  <c r="Q68"/>
  <c r="N68"/>
  <c r="M68"/>
  <c r="O68"/>
  <c r="L68"/>
  <c r="P68"/>
  <c r="R68"/>
  <c r="AD68"/>
  <c r="S68"/>
  <c r="F66"/>
  <c r="E66"/>
  <c r="A66"/>
  <c r="D66"/>
  <c r="B66"/>
  <c r="C66"/>
  <c r="AF66"/>
  <c r="V68"/>
  <c r="AJ68"/>
  <c r="AE68" l="1"/>
  <c r="X68"/>
  <c r="Z68"/>
  <c r="W69"/>
  <c r="Y68"/>
  <c r="AB68"/>
  <c r="AA68"/>
  <c r="AC68"/>
  <c r="J69"/>
  <c r="I69"/>
  <c r="K70" l="1"/>
  <c r="N69"/>
  <c r="M69"/>
  <c r="L69"/>
  <c r="O69"/>
  <c r="Q69"/>
  <c r="P69"/>
  <c r="S69"/>
  <c r="AD69"/>
  <c r="R69"/>
  <c r="A67"/>
  <c r="C67"/>
  <c r="B67"/>
  <c r="AF67"/>
  <c r="E67"/>
  <c r="D67"/>
  <c r="F67"/>
  <c r="V69"/>
  <c r="AJ69"/>
  <c r="X69" l="1"/>
  <c r="W70"/>
  <c r="Y69"/>
  <c r="AC69"/>
  <c r="Z69"/>
  <c r="AE69"/>
  <c r="AB69"/>
  <c r="AA69"/>
  <c r="I70"/>
  <c r="J70"/>
  <c r="S70" l="1"/>
  <c r="R70"/>
  <c r="AD70"/>
  <c r="K71"/>
  <c r="M70"/>
  <c r="O70"/>
  <c r="Q70"/>
  <c r="P70"/>
  <c r="N70"/>
  <c r="L70"/>
  <c r="D68"/>
  <c r="A68"/>
  <c r="E68"/>
  <c r="AF68"/>
  <c r="F68"/>
  <c r="C68"/>
  <c r="B68"/>
  <c r="V70"/>
  <c r="AJ70"/>
  <c r="W71" l="1"/>
  <c r="Y70"/>
  <c r="AB70"/>
  <c r="X70"/>
  <c r="AC70"/>
  <c r="AE70"/>
  <c r="AA70"/>
  <c r="Z70"/>
  <c r="J71"/>
  <c r="I71"/>
  <c r="K72" l="1"/>
  <c r="O71"/>
  <c r="L71"/>
  <c r="Q71"/>
  <c r="N71"/>
  <c r="M71"/>
  <c r="P71"/>
  <c r="S71"/>
  <c r="R71"/>
  <c r="AD71"/>
  <c r="E69"/>
  <c r="F69"/>
  <c r="D69"/>
  <c r="AF69"/>
  <c r="A69"/>
  <c r="C69"/>
  <c r="B69"/>
  <c r="V71"/>
  <c r="AJ71"/>
  <c r="Z71" l="1"/>
  <c r="AB71"/>
  <c r="AE71"/>
  <c r="X71"/>
  <c r="Y71"/>
  <c r="AA71"/>
  <c r="AC71"/>
  <c r="W72"/>
  <c r="J72"/>
  <c r="I72"/>
  <c r="AD72" l="1"/>
  <c r="R72"/>
  <c r="S72"/>
  <c r="K73"/>
  <c r="Q72"/>
  <c r="O72"/>
  <c r="L72"/>
  <c r="N72"/>
  <c r="M72"/>
  <c r="P72"/>
  <c r="C70"/>
  <c r="B70"/>
  <c r="D70"/>
  <c r="AF70"/>
  <c r="A70"/>
  <c r="F70"/>
  <c r="E70"/>
  <c r="V72"/>
  <c r="AJ72"/>
  <c r="AA72" l="1"/>
  <c r="Y72"/>
  <c r="X72"/>
  <c r="AC72"/>
  <c r="W73"/>
  <c r="AB72"/>
  <c r="Z72"/>
  <c r="AE72"/>
  <c r="J73"/>
  <c r="I73"/>
  <c r="K74" l="1"/>
  <c r="L73"/>
  <c r="N73"/>
  <c r="M73"/>
  <c r="P73"/>
  <c r="O73"/>
  <c r="Q73"/>
  <c r="AD73"/>
  <c r="R73"/>
  <c r="S73"/>
  <c r="A71"/>
  <c r="B71"/>
  <c r="E71"/>
  <c r="AF71"/>
  <c r="C71"/>
  <c r="F71"/>
  <c r="D71"/>
  <c r="AJ73"/>
  <c r="V73"/>
  <c r="AB73" l="1"/>
  <c r="AE73"/>
  <c r="AA73"/>
  <c r="X73"/>
  <c r="W74"/>
  <c r="AC73"/>
  <c r="Y73"/>
  <c r="Z73"/>
  <c r="J74"/>
  <c r="I74"/>
  <c r="AD74" l="1"/>
  <c r="R74"/>
  <c r="S74"/>
  <c r="K75"/>
  <c r="O74"/>
  <c r="P74"/>
  <c r="Q74"/>
  <c r="L74"/>
  <c r="N74"/>
  <c r="M74"/>
  <c r="E72"/>
  <c r="A72"/>
  <c r="AF72"/>
  <c r="C72"/>
  <c r="B72"/>
  <c r="F72"/>
  <c r="D72"/>
  <c r="V74"/>
  <c r="AJ74"/>
  <c r="Z74" l="1"/>
  <c r="X74"/>
  <c r="Y74"/>
  <c r="AE74"/>
  <c r="AB74"/>
  <c r="W75"/>
  <c r="AA74"/>
  <c r="AC74"/>
  <c r="I75"/>
  <c r="J75"/>
  <c r="K76" l="1"/>
  <c r="O75"/>
  <c r="Q75"/>
  <c r="M75"/>
  <c r="P75"/>
  <c r="L75"/>
  <c r="N75"/>
  <c r="AD75"/>
  <c r="R75"/>
  <c r="S75"/>
  <c r="B73"/>
  <c r="A73"/>
  <c r="E73"/>
  <c r="AF73"/>
  <c r="F73"/>
  <c r="D73"/>
  <c r="C73"/>
  <c r="V75"/>
  <c r="AJ75"/>
  <c r="AA75" l="1"/>
  <c r="W76"/>
  <c r="AC75"/>
  <c r="AB75"/>
  <c r="Z75"/>
  <c r="X75"/>
  <c r="Y75"/>
  <c r="AE75"/>
  <c r="J76"/>
  <c r="I76"/>
  <c r="S76" l="1"/>
  <c r="AD76"/>
  <c r="R76"/>
  <c r="K77"/>
  <c r="P76"/>
  <c r="Q76"/>
  <c r="O76"/>
  <c r="M76"/>
  <c r="N76"/>
  <c r="L76"/>
  <c r="B74"/>
  <c r="E74"/>
  <c r="C74"/>
  <c r="D74"/>
  <c r="F74"/>
  <c r="AF74"/>
  <c r="A74"/>
  <c r="V76"/>
  <c r="AJ76"/>
  <c r="AE76" l="1"/>
  <c r="X76"/>
  <c r="AB76"/>
  <c r="Y76"/>
  <c r="W77"/>
  <c r="Z76"/>
  <c r="AC76"/>
  <c r="AA76"/>
  <c r="J77"/>
  <c r="I77"/>
  <c r="AD77" l="1"/>
  <c r="R77"/>
  <c r="S77"/>
  <c r="P77"/>
  <c r="O77"/>
  <c r="M77"/>
  <c r="N77"/>
  <c r="L77"/>
  <c r="Q77"/>
  <c r="F75"/>
  <c r="AF75"/>
  <c r="E75"/>
  <c r="C75"/>
  <c r="D75"/>
  <c r="A75"/>
  <c r="B75"/>
  <c r="AJ77"/>
  <c r="V77"/>
  <c r="AC77" l="1"/>
  <c r="X77"/>
  <c r="AE77"/>
  <c r="AA77"/>
  <c r="Z77"/>
  <c r="AB77"/>
  <c r="Y77"/>
  <c r="AF76" l="1"/>
  <c r="F77"/>
  <c r="B76"/>
  <c r="D77"/>
  <c r="AF77"/>
  <c r="A77"/>
  <c r="A76"/>
  <c r="C76"/>
  <c r="F76"/>
  <c r="B77"/>
  <c r="D76"/>
  <c r="E76"/>
  <c r="C77"/>
  <c r="E77"/>
  <c r="F1" l="1"/>
</calcChain>
</file>

<file path=xl/sharedStrings.xml><?xml version="1.0" encoding="utf-8"?>
<sst xmlns="http://schemas.openxmlformats.org/spreadsheetml/2006/main" count="247" uniqueCount="176">
  <si>
    <t>Priority</t>
  </si>
  <si>
    <t>SCHEDULED MAINTENANCE</t>
  </si>
  <si>
    <t>PRIORITY</t>
  </si>
  <si>
    <t>TYPE</t>
  </si>
  <si>
    <t>BUDGET</t>
  </si>
  <si>
    <t>TOTAL</t>
  </si>
  <si>
    <t>General</t>
  </si>
  <si>
    <t>Electrical</t>
  </si>
  <si>
    <t>Interior</t>
  </si>
  <si>
    <t>HA</t>
  </si>
  <si>
    <t>General - end</t>
  </si>
  <si>
    <t>PB</t>
  </si>
  <si>
    <t>Estimated OutGoings</t>
  </si>
  <si>
    <t>Estimated Income</t>
  </si>
  <si>
    <t>Moorings Insurance &amp; Licence</t>
  </si>
  <si>
    <t>Shares</t>
  </si>
  <si>
    <t>Scheduled Maintenance</t>
  </si>
  <si>
    <t>NPs</t>
  </si>
  <si>
    <t>Account Charges</t>
  </si>
  <si>
    <t>Year Income</t>
  </si>
  <si>
    <t>Gross Outgoings</t>
  </si>
  <si>
    <t>Gross income</t>
  </si>
  <si>
    <t>Insurance</t>
  </si>
  <si>
    <t>Licence</t>
  </si>
  <si>
    <t>Share</t>
  </si>
  <si>
    <t>Priority 0=Standard budget item</t>
  </si>
  <si>
    <t>Priority 1=Essential</t>
  </si>
  <si>
    <t xml:space="preserve">Priority 2=Important </t>
  </si>
  <si>
    <t>Priority 4=Very useful but significant effort or cost,could omit or defer</t>
  </si>
  <si>
    <t>Priority 5=Nice to have but could defer</t>
  </si>
  <si>
    <t>Occasional moorings</t>
  </si>
  <si>
    <t>Winter Moorings</t>
  </si>
  <si>
    <t>Gifts/donations</t>
  </si>
  <si>
    <t>Year Outgoings</t>
  </si>
  <si>
    <r>
      <t xml:space="preserve">Trip Charge surplus </t>
    </r>
    <r>
      <rPr>
        <b/>
        <sz val="12"/>
        <rFont val="Arial"/>
        <family val="2"/>
      </rPr>
      <t>(* 1)</t>
    </r>
  </si>
  <si>
    <r>
      <t xml:space="preserve">Daily Charge surplus </t>
    </r>
    <r>
      <rPr>
        <b/>
        <sz val="12"/>
        <rFont val="Arial"/>
        <family val="2"/>
      </rPr>
      <t>(*2)</t>
    </r>
  </si>
  <si>
    <t>DF</t>
  </si>
  <si>
    <t>DA</t>
  </si>
  <si>
    <t>Do Jobs to Priority</t>
  </si>
  <si>
    <t>Priority 3=Very useful,and quick &amp; low cost (&lt;£20),could omit or defer</t>
  </si>
  <si>
    <t>DRK</t>
  </si>
  <si>
    <t>CJ</t>
  </si>
  <si>
    <t>ORGANISERS</t>
  </si>
  <si>
    <t>JOBS NOT TO BE DONE</t>
  </si>
  <si>
    <t>Unplanned / Emergencies</t>
  </si>
  <si>
    <t>DB</t>
  </si>
  <si>
    <t>Occasional moorings reduced from £1500 in 2006</t>
  </si>
  <si>
    <t>Emergencies were reduced from £800 in 2006</t>
  </si>
  <si>
    <t>DJ</t>
  </si>
  <si>
    <t>Miscellaneous</t>
  </si>
  <si>
    <t>Start of Season</t>
  </si>
  <si>
    <t>Remove all surplus materials and food etc</t>
  </si>
  <si>
    <t>Restock water filters &amp; Freezeban</t>
  </si>
  <si>
    <t>Priority 6=Special major project, budgeted from funds</t>
  </si>
  <si>
    <t>ALL</t>
  </si>
  <si>
    <t>Specials</t>
  </si>
  <si>
    <t>Selected</t>
  </si>
  <si>
    <t xml:space="preserve"> TOTAL for jobs with priority up to</t>
  </si>
  <si>
    <t>TOTAL for all jobs  - priority up to</t>
  </si>
  <si>
    <t>TM</t>
  </si>
  <si>
    <t>November</t>
  </si>
  <si>
    <t>Electrics</t>
  </si>
  <si>
    <t>NP daily rate</t>
  </si>
  <si>
    <t>PF</t>
  </si>
  <si>
    <t>Day charge increased from £15/20 in 2011</t>
  </si>
  <si>
    <t>NPs target increased from £800 in 2008 but reduced from £1000 in 2011</t>
  </si>
  <si>
    <t>JF</t>
  </si>
  <si>
    <t>Re-stock first aid kit as needed</t>
  </si>
  <si>
    <t>Trip income (net of costs)</t>
  </si>
  <si>
    <t>Daily income (net of costs)</t>
  </si>
  <si>
    <t>Budget Asumptions</t>
  </si>
  <si>
    <t>Check both gas locker vents to outside are clear</t>
  </si>
  <si>
    <t>Share increased by £30 in 2010, increased  again in 2013 by £30</t>
  </si>
  <si>
    <r>
      <t xml:space="preserve">Trip/Daily net of cost/income planned for a </t>
    </r>
    <r>
      <rPr>
        <b/>
        <i/>
        <sz val="11"/>
        <color indexed="10"/>
        <rFont val="Arial"/>
        <family val="2"/>
      </rPr>
      <t>small surplus</t>
    </r>
  </si>
  <si>
    <t>Check fire extinguishers (and shake powder to remove lumpyness) and fire blanket</t>
  </si>
  <si>
    <r>
      <t xml:space="preserve">Surplus / </t>
    </r>
    <r>
      <rPr>
        <sz val="12"/>
        <color indexed="10"/>
        <rFont val="Arial"/>
        <family val="2"/>
      </rPr>
      <t>Loss</t>
    </r>
  </si>
  <si>
    <t>(charge minus cost/trip x No. of trips = budget)</t>
  </si>
  <si>
    <t>(charge minus cost/day x Days use = budget)</t>
  </si>
  <si>
    <t xml:space="preserve">Check/fix bilge pumps and auto switches operational </t>
  </si>
  <si>
    <t>Joinery</t>
  </si>
  <si>
    <t xml:space="preserve">Add spotlight option to front headlight.  </t>
  </si>
  <si>
    <t xml:space="preserve">  JOBS TO BE DONE EVERY YEAR</t>
  </si>
  <si>
    <t>Pumpout</t>
  </si>
  <si>
    <t>Cost/day Fuel /gas (£17)</t>
  </si>
  <si>
    <t>JM</t>
  </si>
  <si>
    <r>
      <t>*1</t>
    </r>
    <r>
      <rPr>
        <sz val="11"/>
        <rFont val="Arial"/>
        <family val="2"/>
      </rPr>
      <t xml:space="preserve"> trip charge unchanged</t>
    </r>
  </si>
  <si>
    <t>PAGE</t>
  </si>
  <si>
    <t>WHO</t>
  </si>
  <si>
    <t>INDEX TO PAGES</t>
  </si>
  <si>
    <t>Replace rubber matting over rear boards</t>
  </si>
  <si>
    <t>Resolve starter issue</t>
  </si>
  <si>
    <t>Mattress/cushion replacement programme</t>
  </si>
  <si>
    <t>Restock pumpout cards (not maintenance - charge to pump out)</t>
  </si>
  <si>
    <t>Lighting</t>
  </si>
  <si>
    <t>Rear boards</t>
  </si>
  <si>
    <t>Lights replacement/upgrade (see list at bottom)</t>
  </si>
  <si>
    <t xml:space="preserve">Shelving in dining area - wire stops, </t>
  </si>
  <si>
    <t>Permanent solution to collapsed boiler chimney</t>
  </si>
  <si>
    <t>Check for water leaks under kitchen sink as possible cause of smell</t>
  </si>
  <si>
    <t>Organize boxes in Boiler Cupboard.  Label boxes with contents, replace failing boxes, put list of contents on back of the door.</t>
  </si>
  <si>
    <t>Replace missing bags for blankets and pillows?</t>
  </si>
  <si>
    <t xml:space="preserve">De-winterise water pump,check for leaks, reinstall, change water filter. Re-install Port Side Heating pump and shower. </t>
  </si>
  <si>
    <t>Service engine (oil &amp; filters mid season)  add diesel tonic, Oil and filter, Fuel filter,</t>
  </si>
  <si>
    <t>DRK/PB</t>
  </si>
  <si>
    <t>Number of trips (12)</t>
  </si>
  <si>
    <t>Days use (52)</t>
  </si>
  <si>
    <t>2020 EOY Floating Fund</t>
  </si>
  <si>
    <t>Monitor water pump voltage problem</t>
  </si>
  <si>
    <t>DA/HA/JM</t>
  </si>
  <si>
    <t>Boiler check</t>
  </si>
  <si>
    <t>Gas</t>
  </si>
  <si>
    <t xml:space="preserve">Check propeller </t>
  </si>
  <si>
    <r>
      <t xml:space="preserve">Batteries: Check, clean &amp; grease terminals </t>
    </r>
    <r>
      <rPr>
        <sz val="11"/>
        <color rgb="FFFF0000"/>
        <rFont val="Arial"/>
        <family val="2"/>
      </rPr>
      <t>OK</t>
    </r>
  </si>
  <si>
    <t>Danny</t>
  </si>
  <si>
    <t>Hull &amp; Structure</t>
  </si>
  <si>
    <t xml:space="preserve">  JOBS FOR THIS YEAR</t>
  </si>
  <si>
    <t xml:space="preserve">Resolve water leak at front radiator vent pipe </t>
  </si>
  <si>
    <t>Plumbing</t>
  </si>
  <si>
    <t>Replace pillows  (4/year?)</t>
  </si>
  <si>
    <t>Winterisation- Partial (November) Full (December)</t>
  </si>
  <si>
    <r>
      <t xml:space="preserve">Restock CH antifreeze Check water levels </t>
    </r>
    <r>
      <rPr>
        <sz val="11"/>
        <color rgb="FF0070C0"/>
        <rFont val="Arial"/>
        <family val="2"/>
      </rPr>
      <t>(see below)</t>
    </r>
  </si>
  <si>
    <r>
      <t xml:space="preserve">Check for any soft board (replace as necessary) and water under floor </t>
    </r>
    <r>
      <rPr>
        <sz val="11"/>
        <color rgb="FFFF0000"/>
        <rFont val="Arial"/>
        <family val="2"/>
      </rPr>
      <t>OK</t>
    </r>
  </si>
  <si>
    <r>
      <t xml:space="preserve">Check </t>
    </r>
    <r>
      <rPr>
        <sz val="11"/>
        <color theme="0" tint="-0.34998626667073579"/>
        <rFont val="Arial"/>
        <family val="2"/>
      </rPr>
      <t>mounts,</t>
    </r>
    <r>
      <rPr>
        <sz val="11"/>
        <color indexed="8"/>
        <rFont val="Arial"/>
        <family val="2"/>
      </rPr>
      <t xml:space="preserve"> </t>
    </r>
    <r>
      <rPr>
        <sz val="11"/>
        <color theme="0" tint="-0.34998626667073579"/>
        <rFont val="Arial"/>
        <family val="2"/>
      </rPr>
      <t>transmission</t>
    </r>
    <r>
      <rPr>
        <sz val="11"/>
        <color indexed="8"/>
        <rFont val="Arial"/>
        <family val="2"/>
      </rPr>
      <t xml:space="preserve"> and alternator belt </t>
    </r>
  </si>
  <si>
    <r>
      <t xml:space="preserve">Clean Shower sump (bucket) </t>
    </r>
    <r>
      <rPr>
        <sz val="11"/>
        <color rgb="FF0070C0"/>
        <rFont val="Arial"/>
        <family val="2"/>
      </rPr>
      <t>Check for leak</t>
    </r>
  </si>
  <si>
    <t>Rear boards matting</t>
  </si>
  <si>
    <t>ex VAT</t>
  </si>
  <si>
    <t>inc VAT</t>
  </si>
  <si>
    <t>2m x 1.8m</t>
  </si>
  <si>
    <t>1.82m x 1.22m</t>
  </si>
  <si>
    <t>price each</t>
  </si>
  <si>
    <t>Top Covering x 2</t>
  </si>
  <si>
    <t>Cost</t>
  </si>
  <si>
    <r>
      <t xml:space="preserve">Clean rain gullies around stern counter area </t>
    </r>
    <r>
      <rPr>
        <sz val="11"/>
        <color rgb="FFFF0000"/>
        <rFont val="Arial"/>
        <family val="2"/>
      </rPr>
      <t>not needed</t>
    </r>
  </si>
  <si>
    <r>
      <t xml:space="preserve">Clean rubber mat on stern counter area </t>
    </r>
    <r>
      <rPr>
        <sz val="11"/>
        <color rgb="FFFF0000"/>
        <rFont val="Arial"/>
        <family val="2"/>
      </rPr>
      <t>not needed</t>
    </r>
  </si>
  <si>
    <t>Repair front door before painting</t>
  </si>
  <si>
    <t>Restock &amp; update handover sheet &amp; email to members</t>
  </si>
  <si>
    <t>All</t>
  </si>
  <si>
    <t>Clean boat for start of season</t>
  </si>
  <si>
    <r>
      <rPr>
        <sz val="11"/>
        <rFont val="Arial"/>
        <family val="2"/>
      </rPr>
      <t>Restock engine oil (</t>
    </r>
    <r>
      <rPr>
        <sz val="8"/>
        <rFont val="Arial"/>
        <family val="2"/>
      </rPr>
      <t>charge to "Engine Oil"</t>
    </r>
    <r>
      <rPr>
        <sz val="11"/>
        <rFont val="Arial"/>
        <family val="2"/>
      </rPr>
      <t xml:space="preserve">) </t>
    </r>
    <r>
      <rPr>
        <sz val="11"/>
        <color rgb="FFFF0000"/>
        <rFont val="Arial"/>
        <family val="2"/>
      </rPr>
      <t>OK</t>
    </r>
  </si>
  <si>
    <r>
      <rPr>
        <sz val="11"/>
        <rFont val="Arial"/>
        <family val="2"/>
      </rPr>
      <t xml:space="preserve">Restock diesel tonic and oil + fuel+ air filters </t>
    </r>
    <r>
      <rPr>
        <sz val="11"/>
        <color rgb="FFFF0000"/>
        <rFont val="Arial"/>
        <family val="2"/>
      </rPr>
      <t>OK</t>
    </r>
  </si>
  <si>
    <t>Laundry: clean blankets &amp; curtains?</t>
  </si>
  <si>
    <t xml:space="preserve">Jobs by Danny to support painting </t>
  </si>
  <si>
    <t>Replace  fenders</t>
  </si>
  <si>
    <t>PB /JWD</t>
  </si>
  <si>
    <t>TM/PB/DB</t>
  </si>
  <si>
    <t>Butyle covering: 2m x 1.8m</t>
  </si>
  <si>
    <t>PB/SB</t>
  </si>
  <si>
    <r>
      <t>Restock Blue for loos (</t>
    </r>
    <r>
      <rPr>
        <sz val="8"/>
        <rFont val="Arial"/>
        <family val="2"/>
      </rPr>
      <t>charge to "Pump-out"</t>
    </r>
    <r>
      <rPr>
        <sz val="11"/>
        <rFont val="Arial"/>
        <family val="2"/>
      </rPr>
      <t>)</t>
    </r>
  </si>
  <si>
    <t>JF/PB/SB</t>
  </si>
  <si>
    <t>Replace CO detector (in stock)</t>
  </si>
  <si>
    <t>ADDITIONAL COST  for jobs of priority</t>
  </si>
  <si>
    <t>2021 EOY Floating Fund</t>
  </si>
  <si>
    <t>No of new participants</t>
  </si>
  <si>
    <t xml:space="preserve">No. of continuing Participants </t>
  </si>
  <si>
    <t>PAINTING</t>
  </si>
  <si>
    <t>Painter's work including shed hire</t>
  </si>
  <si>
    <t>Sign Writing</t>
  </si>
  <si>
    <t xml:space="preserve">Continuing member 1-off </t>
  </si>
  <si>
    <t>Continuing members' 1-offs</t>
  </si>
  <si>
    <r>
      <t xml:space="preserve">*2 </t>
    </r>
    <r>
      <rPr>
        <sz val="11"/>
        <rFont val="Arial"/>
        <family val="2"/>
      </rPr>
      <t xml:space="preserve">Daily charge </t>
    </r>
    <r>
      <rPr>
        <b/>
        <sz val="11"/>
        <color indexed="10"/>
        <rFont val="Arial"/>
        <family val="2"/>
      </rPr>
      <t xml:space="preserve">changed to </t>
    </r>
    <r>
      <rPr>
        <sz val="11"/>
        <rFont val="Arial"/>
        <family val="2"/>
      </rPr>
      <t>£25/30 Avg =</t>
    </r>
  </si>
  <si>
    <t>Number of NP days (128/32 )</t>
  </si>
  <si>
    <t>Cost/trip of Pumpout (29/12)</t>
  </si>
  <si>
    <t>JWD</t>
  </si>
  <si>
    <t>SB</t>
  </si>
  <si>
    <t>DB/SB</t>
  </si>
  <si>
    <r>
      <t xml:space="preserve">Licence </t>
    </r>
    <r>
      <rPr>
        <b/>
        <i/>
        <sz val="11"/>
        <color indexed="10"/>
        <rFont val="Arial"/>
        <family val="2"/>
      </rPr>
      <t>inflated by 2%</t>
    </r>
    <r>
      <rPr>
        <i/>
        <sz val="11"/>
        <rFont val="Arial"/>
        <family val="2"/>
      </rPr>
      <t xml:space="preserve"> over last year</t>
    </r>
  </si>
  <si>
    <r>
      <t xml:space="preserve">Winter moorings </t>
    </r>
    <r>
      <rPr>
        <b/>
        <i/>
        <sz val="11"/>
        <color indexed="10"/>
        <rFont val="Arial"/>
        <family val="2"/>
      </rPr>
      <t>inflated by 4%</t>
    </r>
    <r>
      <rPr>
        <i/>
        <sz val="11"/>
        <rFont val="Arial"/>
        <family val="2"/>
      </rPr>
      <t xml:space="preserve"> over 2019</t>
    </r>
  </si>
  <si>
    <r>
      <t xml:space="preserve">Insurance </t>
    </r>
    <r>
      <rPr>
        <b/>
        <i/>
        <sz val="11"/>
        <color indexed="10"/>
        <rFont val="Arial"/>
        <family val="2"/>
      </rPr>
      <t>inflated by 2%</t>
    </r>
    <r>
      <rPr>
        <i/>
        <sz val="11"/>
        <rFont val="Arial"/>
        <family val="2"/>
      </rPr>
      <t xml:space="preserve"> over last year</t>
    </r>
  </si>
  <si>
    <t>jobs listed</t>
  </si>
  <si>
    <t>Check compliance issues. Check for new/changed requirements.  (not needed - due 2022)</t>
  </si>
  <si>
    <t>DA/DRK</t>
  </si>
  <si>
    <t xml:space="preserve">Pressure test the gas lines </t>
  </si>
  <si>
    <t>DA/JWD</t>
  </si>
  <si>
    <r>
      <t>Working w/e food</t>
    </r>
    <r>
      <rPr>
        <sz val="11"/>
        <color rgb="FFFF0000"/>
        <rFont val="Arial"/>
        <family val="2"/>
      </rPr>
      <t xml:space="preserve"> (not needed 2021)</t>
    </r>
  </si>
  <si>
    <t xml:space="preserve">Check operation of both loos.  Lubricate foot pedal. To retain water, polish ball &amp; descale rubber rings. </t>
  </si>
  <si>
    <t>Refurbish rear loo so bowl holds water, we have all the parts.  Front loo loose?</t>
  </si>
</sst>
</file>

<file path=xl/styles.xml><?xml version="1.0" encoding="utf-8"?>
<styleSheet xmlns="http://schemas.openxmlformats.org/spreadsheetml/2006/main">
  <numFmts count="8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&quot;£&quot;#,##0"/>
    <numFmt numFmtId="167" formatCode="0.0"/>
    <numFmt numFmtId="168" formatCode="&quot;£&quot;#,##0.00"/>
    <numFmt numFmtId="169" formatCode="#,##0.0"/>
  </numFmts>
  <fonts count="36">
    <font>
      <sz val="12"/>
      <color indexed="24"/>
      <name val="Arial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22"/>
      <name val="Arial"/>
      <family val="2"/>
    </font>
    <font>
      <b/>
      <i/>
      <sz val="11"/>
      <color indexed="1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12"/>
      <color indexed="24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11"/>
      <color theme="0" tint="-0.34998626667073579"/>
      <name val="Arial"/>
      <family val="2"/>
    </font>
    <font>
      <sz val="11"/>
      <color theme="0" tint="-0.499984740745262"/>
      <name val="Arial"/>
      <family val="2"/>
    </font>
    <font>
      <sz val="11"/>
      <color rgb="FF0070C0"/>
      <name val="Arial"/>
      <family val="2"/>
    </font>
    <font>
      <sz val="11"/>
      <color theme="9" tint="-0.24997711111789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0" fillId="0" borderId="1" applyNumberFormat="0" applyFont="0" applyFill="0" applyAlignment="0" applyProtection="0"/>
  </cellStyleXfs>
  <cellXfs count="196">
    <xf numFmtId="0" fontId="0" fillId="0" borderId="0" xfId="0"/>
    <xf numFmtId="0" fontId="11" fillId="0" borderId="0" xfId="0" applyFont="1" applyBorder="1" applyAlignment="1">
      <alignment vertical="top" wrapText="1"/>
    </xf>
    <xf numFmtId="0" fontId="12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0" fontId="12" fillId="0" borderId="16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0" fillId="0" borderId="17" xfId="0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top"/>
    </xf>
    <xf numFmtId="0" fontId="16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166" fontId="11" fillId="0" borderId="25" xfId="0" applyNumberFormat="1" applyFont="1" applyBorder="1" applyAlignment="1">
      <alignment vertical="top" wrapText="1"/>
    </xf>
    <xf numFmtId="0" fontId="12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vertical="top" wrapText="1"/>
    </xf>
    <xf numFmtId="0" fontId="25" fillId="0" borderId="0" xfId="0" applyFont="1" applyAlignment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textRotation="90" wrapText="1"/>
    </xf>
    <xf numFmtId="0" fontId="11" fillId="0" borderId="5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2" fillId="0" borderId="29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66" fontId="11" fillId="0" borderId="3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166" fontId="11" fillId="0" borderId="3" xfId="0" quotePrefix="1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vertical="center" wrapText="1"/>
    </xf>
    <xf numFmtId="166" fontId="11" fillId="2" borderId="3" xfId="0" applyNumberFormat="1" applyFont="1" applyFill="1" applyBorder="1" applyAlignment="1">
      <alignment horizontal="right" vertical="center" wrapText="1"/>
    </xf>
    <xf numFmtId="166" fontId="11" fillId="2" borderId="6" xfId="0" applyNumberFormat="1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0" fontId="12" fillId="0" borderId="30" xfId="0" applyFont="1" applyFill="1" applyBorder="1" applyAlignment="1">
      <alignment vertical="center" wrapText="1"/>
    </xf>
    <xf numFmtId="166" fontId="11" fillId="0" borderId="11" xfId="0" quotePrefix="1" applyNumberFormat="1" applyFont="1" applyBorder="1" applyAlignment="1">
      <alignment horizontal="right" vertical="center" wrapText="1"/>
    </xf>
    <xf numFmtId="0" fontId="11" fillId="2" borderId="29" xfId="0" applyFont="1" applyFill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vertical="center" wrapText="1"/>
    </xf>
    <xf numFmtId="166" fontId="11" fillId="0" borderId="25" xfId="0" applyNumberFormat="1" applyFont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166" fontId="11" fillId="0" borderId="14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center" vertical="center" wrapText="1"/>
    </xf>
    <xf numFmtId="167" fontId="12" fillId="0" borderId="24" xfId="0" applyNumberFormat="1" applyFont="1" applyBorder="1" applyAlignment="1">
      <alignment horizontal="left" vertical="center" wrapText="1"/>
    </xf>
    <xf numFmtId="166" fontId="12" fillId="0" borderId="24" xfId="0" applyNumberFormat="1" applyFont="1" applyBorder="1" applyAlignment="1">
      <alignment horizontal="right" vertical="center" wrapText="1"/>
    </xf>
    <xf numFmtId="166" fontId="12" fillId="0" borderId="16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166" fontId="12" fillId="0" borderId="5" xfId="0" applyNumberFormat="1" applyFont="1" applyBorder="1" applyAlignment="1">
      <alignment vertical="center" wrapText="1"/>
    </xf>
    <xf numFmtId="167" fontId="12" fillId="0" borderId="28" xfId="0" applyNumberFormat="1" applyFont="1" applyBorder="1" applyAlignment="1">
      <alignment horizontal="left" vertical="center" wrapText="1"/>
    </xf>
    <xf numFmtId="166" fontId="12" fillId="0" borderId="27" xfId="0" applyNumberFormat="1" applyFont="1" applyBorder="1" applyAlignment="1">
      <alignment horizontal="right" vertical="center" wrapText="1"/>
    </xf>
    <xf numFmtId="166" fontId="12" fillId="0" borderId="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166" fontId="11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166" fontId="19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166" fontId="11" fillId="0" borderId="0" xfId="0" applyNumberFormat="1" applyFont="1" applyAlignment="1">
      <alignment vertical="center" wrapText="1"/>
    </xf>
    <xf numFmtId="0" fontId="28" fillId="2" borderId="30" xfId="0" applyFont="1" applyFill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31" fillId="0" borderId="0" xfId="0" applyFont="1"/>
    <xf numFmtId="0" fontId="32" fillId="0" borderId="0" xfId="0" applyFont="1"/>
    <xf numFmtId="168" fontId="31" fillId="0" borderId="0" xfId="0" applyNumberFormat="1" applyFont="1"/>
    <xf numFmtId="0" fontId="31" fillId="0" borderId="0" xfId="0" applyFont="1" applyAlignment="1">
      <alignment horizont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vertical="center" wrapText="1"/>
    </xf>
    <xf numFmtId="0" fontId="23" fillId="2" borderId="29" xfId="0" applyFont="1" applyFill="1" applyBorder="1" applyAlignment="1">
      <alignment vertical="center" wrapText="1"/>
    </xf>
    <xf numFmtId="166" fontId="11" fillId="2" borderId="11" xfId="0" applyNumberFormat="1" applyFont="1" applyFill="1" applyBorder="1" applyAlignment="1">
      <alignment horizontal="right" vertical="top" wrapText="1"/>
    </xf>
    <xf numFmtId="0" fontId="23" fillId="2" borderId="30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vertical="center" wrapText="1"/>
    </xf>
    <xf numFmtId="0" fontId="23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6" fontId="4" fillId="0" borderId="0" xfId="0" applyNumberFormat="1" applyFont="1" applyAlignment="1">
      <alignment vertical="center"/>
    </xf>
    <xf numFmtId="8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3" fillId="0" borderId="30" xfId="0" applyFont="1" applyFill="1" applyBorder="1" applyAlignment="1">
      <alignment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7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166" fontId="23" fillId="0" borderId="3" xfId="0" applyNumberFormat="1" applyFont="1" applyBorder="1" applyAlignment="1">
      <alignment horizontal="right" vertical="center" wrapText="1"/>
    </xf>
    <xf numFmtId="166" fontId="23" fillId="0" borderId="6" xfId="0" applyNumberFormat="1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6" fillId="0" borderId="30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9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2" borderId="39" xfId="0" applyFont="1" applyFill="1" applyBorder="1" applyAlignment="1">
      <alignment horizontal="center" vertical="center" textRotation="90" wrapText="1"/>
    </xf>
    <xf numFmtId="0" fontId="22" fillId="2" borderId="22" xfId="0" applyFont="1" applyFill="1" applyBorder="1" applyAlignment="1">
      <alignment horizontal="center" vertical="center" textRotation="90" wrapText="1"/>
    </xf>
    <xf numFmtId="0" fontId="12" fillId="0" borderId="40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2" fillId="0" borderId="41" xfId="0" applyFont="1" applyBorder="1" applyAlignment="1">
      <alignment horizontal="right" vertical="center" wrapText="1"/>
    </xf>
    <xf numFmtId="0" fontId="0" fillId="0" borderId="28" xfId="0" applyBorder="1" applyAlignment="1">
      <alignment vertical="center" wrapText="1"/>
    </xf>
    <xf numFmtId="166" fontId="12" fillId="0" borderId="42" xfId="0" applyNumberFormat="1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43" xfId="0" applyBorder="1" applyAlignment="1">
      <alignment horizontal="center" vertical="center" textRotation="90" wrapText="1"/>
    </xf>
    <xf numFmtId="0" fontId="12" fillId="0" borderId="44" xfId="0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 textRotation="90" wrapText="1"/>
    </xf>
    <xf numFmtId="0" fontId="12" fillId="0" borderId="39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0" fontId="12" fillId="0" borderId="47" xfId="0" applyFont="1" applyBorder="1" applyAlignment="1">
      <alignment horizontal="center" vertical="center" textRotation="90" wrapText="1"/>
    </xf>
    <xf numFmtId="166" fontId="12" fillId="0" borderId="48" xfId="0" applyNumberFormat="1" applyFont="1" applyBorder="1" applyAlignment="1">
      <alignment horizontal="center" vertical="center" textRotation="90" wrapText="1"/>
    </xf>
    <xf numFmtId="0" fontId="0" fillId="0" borderId="49" xfId="0" applyBorder="1" applyAlignment="1">
      <alignment horizontal="center" vertical="center" textRotation="90" wrapText="1"/>
    </xf>
    <xf numFmtId="0" fontId="0" fillId="0" borderId="50" xfId="0" applyBorder="1" applyAlignment="1">
      <alignment horizontal="center" vertical="center" textRotation="90" wrapText="1"/>
    </xf>
    <xf numFmtId="168" fontId="31" fillId="0" borderId="0" xfId="0" applyNumberFormat="1" applyFont="1" applyAlignment="1">
      <alignment horizontal="center"/>
    </xf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3">
    <dxf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4699419</xdr:colOff>
      <xdr:row>0</xdr:row>
      <xdr:rowOff>33866</xdr:rowOff>
    </xdr:from>
    <xdr:to>
      <xdr:col>3</xdr:col>
      <xdr:colOff>1185742</xdr:colOff>
      <xdr:row>2</xdr:row>
      <xdr:rowOff>20079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055019" y="33866"/>
          <a:ext cx="1981190" cy="401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Type your initials or a </a:t>
          </a:r>
          <a:r>
            <a:rPr lang="en-GB" sz="1200" b="0" i="0" u="none" strike="noStrike" baseline="0">
              <a:solidFill>
                <a:schemeClr val="tx1"/>
              </a:solidFill>
              <a:latin typeface="Arial"/>
              <a:cs typeface="Arial"/>
            </a:rPr>
            <a:t>==&gt;</a:t>
          </a: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number between 0 and 15</a:t>
          </a:r>
        </a:p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here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984250</xdr:colOff>
      <xdr:row>87</xdr:row>
      <xdr:rowOff>107950</xdr:rowOff>
    </xdr:from>
    <xdr:to>
      <xdr:col>6</xdr:col>
      <xdr:colOff>438150</xdr:colOff>
      <xdr:row>93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70000" y="17818100"/>
          <a:ext cx="5035550" cy="109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toilet main light – replace with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sleeping cabin – bunk top right-hand side –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Middle cabin – bunk top right-hand side – LED (could be left another year)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Rear cabin – top bunk – as above 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cabin rear left light</a:t>
          </a:r>
          <a:endParaRPr lang="en-GB" sz="1100"/>
        </a:p>
      </xdr:txBody>
    </xdr:sp>
    <xdr:clientData/>
  </xdr:twoCellAnchor>
  <xdr:oneCellAnchor>
    <xdr:from>
      <xdr:col>7</xdr:col>
      <xdr:colOff>584200</xdr:colOff>
      <xdr:row>89</xdr:row>
      <xdr:rowOff>158750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991350" y="182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2</xdr:row>
      <xdr:rowOff>0</xdr:rowOff>
    </xdr:from>
    <xdr:to>
      <xdr:col>6</xdr:col>
      <xdr:colOff>150700</xdr:colOff>
      <xdr:row>14</xdr:row>
      <xdr:rowOff>157800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5308600" y="393700"/>
          <a:ext cx="900000" cy="2520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6</xdr:col>
      <xdr:colOff>171450</xdr:colOff>
      <xdr:row>2</xdr:row>
      <xdr:rowOff>12700</xdr:rowOff>
    </xdr:from>
    <xdr:to>
      <xdr:col>7</xdr:col>
      <xdr:colOff>669450</xdr:colOff>
      <xdr:row>12</xdr:row>
      <xdr:rowOff>60200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6229350" y="406400"/>
          <a:ext cx="1260000" cy="2016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K95"/>
  <sheetViews>
    <sheetView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M13" sqref="AM13"/>
    </sheetView>
  </sheetViews>
  <sheetFormatPr defaultColWidth="8.84375" defaultRowHeight="15.5"/>
  <cols>
    <col min="1" max="1" width="4.3046875" style="20" customWidth="1"/>
    <col min="2" max="2" width="57.84375" style="20" customWidth="1"/>
    <col min="3" max="3" width="8.69140625" style="18" customWidth="1"/>
    <col min="4" max="5" width="14.4609375" style="18" customWidth="1"/>
    <col min="6" max="6" width="11.53515625" style="22" customWidth="1"/>
    <col min="7" max="7" width="2" style="20" hidden="1" customWidth="1"/>
    <col min="8" max="8" width="3" style="20" hidden="1" customWidth="1"/>
    <col min="9" max="9" width="5.84375" style="20" hidden="1" customWidth="1"/>
    <col min="10" max="10" width="4.84375" style="20" hidden="1" customWidth="1"/>
    <col min="11" max="11" width="7" style="20" hidden="1" customWidth="1"/>
    <col min="12" max="12" width="18.53515625" style="20" hidden="1" customWidth="1"/>
    <col min="13" max="13" width="13.23046875" style="20" hidden="1" customWidth="1"/>
    <col min="14" max="14" width="14.765625" style="20" hidden="1" customWidth="1"/>
    <col min="15" max="16" width="8.4609375" style="20" hidden="1" customWidth="1"/>
    <col min="17" max="17" width="8.53515625" style="20" hidden="1" customWidth="1"/>
    <col min="18" max="18" width="8.84375" style="20" hidden="1" customWidth="1"/>
    <col min="19" max="19" width="2" style="18" hidden="1" customWidth="1"/>
    <col min="20" max="20" width="2.84375" style="21" hidden="1" customWidth="1"/>
    <col min="21" max="22" width="3" style="20" hidden="1" customWidth="1"/>
    <col min="23" max="26" width="8.84375" style="20" hidden="1" customWidth="1"/>
    <col min="27" max="27" width="17.3046875" style="20" hidden="1" customWidth="1"/>
    <col min="28" max="28" width="29.69140625" style="20" hidden="1" customWidth="1"/>
    <col min="29" max="29" width="29.3046875" style="20" hidden="1" customWidth="1"/>
    <col min="30" max="30" width="15.07421875" style="20" hidden="1" customWidth="1"/>
    <col min="31" max="31" width="4.23046875" style="20" hidden="1" customWidth="1"/>
    <col min="32" max="32" width="8.84375" style="20" hidden="1" customWidth="1"/>
    <col min="33" max="33" width="29.07421875" style="20" hidden="1" customWidth="1"/>
    <col min="34" max="36" width="8.84375" style="20" hidden="1" customWidth="1"/>
    <col min="37" max="16384" width="8.84375" style="20"/>
  </cols>
  <sheetData>
    <row r="1" spans="1:37" s="8" customFormat="1" ht="16.5" thickTop="1" thickBot="1">
      <c r="A1" s="26" t="str">
        <f>C1</f>
        <v>ALL</v>
      </c>
      <c r="B1" s="8" t="str">
        <f>CONCATENATE("you are responsible for the following jobs: (up to priority ",MAX(Budget!B3,Budget!E3),")")</f>
        <v>you are responsible for the following jobs: (up to priority 5.9)</v>
      </c>
      <c r="C1" s="11" t="str">
        <f>IF(ISTEXT(E1), E1,VLOOKUP(E1,B80:C100,2))</f>
        <v>ALL</v>
      </c>
      <c r="D1" s="27"/>
      <c r="E1" s="171"/>
      <c r="F1" s="10">
        <f ca="1">COUNT(A4:A77)</f>
        <v>39</v>
      </c>
      <c r="G1" s="165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7"/>
      <c r="T1" s="165" t="s">
        <v>43</v>
      </c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23"/>
      <c r="AK1" s="35" t="s">
        <v>168</v>
      </c>
    </row>
    <row r="2" spans="1:37" s="8" customFormat="1" ht="16" thickTop="1">
      <c r="C2" s="9"/>
      <c r="D2" s="11"/>
      <c r="E2" s="172"/>
      <c r="F2" s="12"/>
      <c r="G2" s="13"/>
      <c r="H2" s="13"/>
      <c r="I2" s="13"/>
      <c r="J2" s="13"/>
      <c r="K2" s="13"/>
      <c r="L2" s="13"/>
      <c r="M2" s="13" t="str">
        <f ca="1">IF(INDIRECT(AG68)&gt;MAX(Budget!$B$3,Budget!E73),"","Y")</f>
        <v>Y</v>
      </c>
      <c r="N2" s="13"/>
      <c r="O2" s="13"/>
      <c r="P2" s="13"/>
      <c r="Q2" s="13"/>
      <c r="R2" s="13"/>
      <c r="S2" s="14"/>
      <c r="T2" s="15"/>
      <c r="U2" s="13"/>
      <c r="V2" s="13"/>
      <c r="W2" s="13"/>
      <c r="X2" s="13"/>
      <c r="Y2" s="13"/>
      <c r="Z2" s="13"/>
      <c r="AA2" s="13"/>
      <c r="AB2" s="13"/>
      <c r="AC2" s="13"/>
      <c r="AD2" s="13"/>
      <c r="AE2" s="16"/>
    </row>
    <row r="3" spans="1:37" s="8" customFormat="1">
      <c r="B3" s="8" t="str">
        <f>'ALL JOBS'!B1</f>
        <v>SCHEDULED MAINTENANCE</v>
      </c>
      <c r="C3" s="11" t="str">
        <f>'ALL JOBS'!D1</f>
        <v>PRIORITY</v>
      </c>
      <c r="D3" s="11" t="str">
        <f>'ALL JOBS'!E1</f>
        <v>TYPE</v>
      </c>
      <c r="E3" s="11"/>
      <c r="F3" s="12" t="str">
        <f>'ALL JOBS'!G1</f>
        <v>BUDGET</v>
      </c>
      <c r="J3" s="8">
        <f>MIN('ALL JOBS'!J10:J77)</f>
        <v>5</v>
      </c>
      <c r="K3" s="8">
        <v>6</v>
      </c>
      <c r="S3" s="11"/>
      <c r="T3" s="15"/>
      <c r="V3" s="8">
        <v>2</v>
      </c>
    </row>
    <row r="4" spans="1:37" ht="30" customHeight="1">
      <c r="A4" s="20">
        <f t="shared" ref="A4:A19" ca="1" si="0">IF(AND($AE5="Y",$AE4=""),"",IF($AE4="Y",INDIRECT(X4),IF($S4="Y",INDIRECT(L4),"")))</f>
        <v>3</v>
      </c>
      <c r="B4" s="17" t="str">
        <f t="shared" ref="B4:B19" ca="1" si="1">IF(AND($AE5="Y",$AE4=""),"THE FOLLOWING JOBS ARE NOT TO BE DONE THIS YEAR",IF($AE4="Y",INDIRECT(Y4),IF($S4="Y",INDIRECT(M4),"")))</f>
        <v>Replace CO detector (in stock)</v>
      </c>
      <c r="C4" s="18">
        <f t="shared" ref="C4:F8" ca="1" si="2">IF(AND($AE5="Y",$AE4=""),"",IF($AE4="Y",INDIRECT(Z4),IF($S4="Y",INDIRECT(N4),"")))</f>
        <v>0</v>
      </c>
      <c r="D4" s="18" t="str">
        <f t="shared" ca="1" si="2"/>
        <v>Start of Season</v>
      </c>
      <c r="E4" s="18" t="str">
        <f t="shared" ca="1" si="2"/>
        <v>DA</v>
      </c>
      <c r="F4" s="19">
        <f t="shared" ca="1" si="2"/>
        <v>0</v>
      </c>
      <c r="G4" s="20" t="str">
        <f ca="1">IF($C$1="ALL",IF(INDIRECT(AH4)="","",IF(INDIRECT(AG4)&gt;MAX(Budget!$B$3,Budget!$E$3),"","Y")),IF(ISERR(FIND($C$1,INDIRECT(AH4))),"",IF(INDIRECT(AG4)&gt;MAX(Budget!$B$3,Budget!$E$3),"","Y")))</f>
        <v/>
      </c>
      <c r="H4" s="20">
        <f>ROW(G4)</f>
        <v>4</v>
      </c>
      <c r="I4" s="20">
        <f ca="1">VLOOKUP("Y",INDIRECT(K4),2,FALSE)</f>
        <v>6</v>
      </c>
      <c r="J4" s="20">
        <f ca="1">VLOOKUP("Y",INDIRECT(K4),2,FALSE)</f>
        <v>6</v>
      </c>
      <c r="K4" s="20" t="str">
        <f>CONCATENATE("G",J3+1,":I",'ALL JOBS'!$K$9)</f>
        <v>G6:I56</v>
      </c>
      <c r="L4" s="20" t="str">
        <f ca="1">CONCATENATE("'ALL JOBS'!A",$J4+$K$3)</f>
        <v>'ALL JOBS'!A12</v>
      </c>
      <c r="M4" s="20" t="str">
        <f t="shared" ref="M4:M67" ca="1" si="3">CONCATENATE("'ALL JOBS'!B",$J4+$K$3)</f>
        <v>'ALL JOBS'!B12</v>
      </c>
      <c r="N4" s="20" t="str">
        <f t="shared" ref="N4:N67" ca="1" si="4">CONCATENATE("'ALL JOBS'!D",$J4+$K$3)</f>
        <v>'ALL JOBS'!D12</v>
      </c>
      <c r="O4" s="20" t="str">
        <f t="shared" ref="O4:O67" ca="1" si="5">CONCATENATE("'ALL JOBS'!E",$J4+$K$3)</f>
        <v>'ALL JOBS'!E12</v>
      </c>
      <c r="P4" s="20" t="str">
        <f t="shared" ref="P4:P67" ca="1" si="6">CONCATENATE("'ALL JOBS'!F",$J4+$K$3)</f>
        <v>'ALL JOBS'!F12</v>
      </c>
      <c r="Q4" s="20" t="str">
        <f t="shared" ref="Q4:Q67" ca="1" si="7">CONCATENATE("'ALL JOBS'!G",$J4+$K$3)</f>
        <v>'ALL JOBS'!G12</v>
      </c>
      <c r="R4" s="20" t="str">
        <f t="shared" ref="R4:R67" ca="1" si="8">CONCATENATE("'ALL JOBS'!D",$I4+6)</f>
        <v>'ALL JOBS'!D12</v>
      </c>
      <c r="S4" s="18" t="str">
        <f ca="1">IF(ISNA(I4),"","Y")</f>
        <v>Y</v>
      </c>
      <c r="T4" s="21" t="str">
        <f>IF($C$1="ALL",IF('ALL JOBS'!F10="","",IF('ALL JOBS'!D10&lt;=Budget!$B$3,"","Y")),IF(ISERR(FIND($C$1,'ALL JOBS'!F10)),IF($E$1="","",IF(ISERR(FIND($E$1,'ALL JOBS'!F10)),"",IF('ALL JOBS'!D10&lt;=Budget!$B$3,"","Y"))),IF('ALL JOBS'!D10&lt;=Budget!$B$3,"","Y")))</f>
        <v/>
      </c>
      <c r="U4" s="20">
        <f>H4</f>
        <v>4</v>
      </c>
      <c r="V4" s="20">
        <f ca="1">IF(AND(ISNA(I4),ISNA(I3),ISNA(I1)),VLOOKUP("Y",INDIRECT(W4),2,FALSE),V3)</f>
        <v>2</v>
      </c>
      <c r="W4" s="20" t="str">
        <f>CONCATENATE("T",V3+1,":U72")</f>
        <v>T3:U72</v>
      </c>
      <c r="X4" s="20" t="str">
        <f ca="1">CONCATENATE("'ALL JOBS'!A",$V4+$K$3)</f>
        <v>'ALL JOBS'!A8</v>
      </c>
      <c r="Y4" s="20" t="str">
        <f t="shared" ref="Y4:Y67" ca="1" si="9">CONCATENATE("'ALL JOBS'!B",$V4+$K$3)</f>
        <v>'ALL JOBS'!B8</v>
      </c>
      <c r="Z4" s="20" t="str">
        <f t="shared" ref="Z4:Z67" ca="1" si="10">CONCATENATE("'ALL JOBS'!D",$V4+$K$3)</f>
        <v>'ALL JOBS'!D8</v>
      </c>
      <c r="AA4" s="20" t="str">
        <f t="shared" ref="AA4:AA67" ca="1" si="11">CONCATENATE("'ALL JOBS'!E",$V4+$K$3)</f>
        <v>'ALL JOBS'!E8</v>
      </c>
      <c r="AB4" s="20" t="str">
        <f ca="1">CONCATENATE("'ALL JOBS'!F",$V4+$K$3)</f>
        <v>'ALL JOBS'!F8</v>
      </c>
      <c r="AC4" s="20" t="str">
        <f t="shared" ref="AC4:AC67" ca="1" si="12">CONCATENATE("'ALL JOBS'!G",$V4+$K$3)</f>
        <v>'ALL JOBS'!G8</v>
      </c>
      <c r="AD4" s="20" t="str">
        <f t="shared" ref="AD4:AD67" ca="1" si="13">CONCATENATE("'ALL JOBS'!D",$I4+6)</f>
        <v>'ALL JOBS'!D12</v>
      </c>
      <c r="AE4" s="20" t="str">
        <f ca="1">IF(ISNA(V4),"",IF(V4=V3,"","Y"))</f>
        <v/>
      </c>
      <c r="AF4" s="20">
        <f ca="1">IF(AND($AE5="Y",$AE4=""),"",IF($AE4="Y",0,IF($S4="Y",ROW(B4)-3,"")))</f>
        <v>1</v>
      </c>
      <c r="AG4" s="20" t="str">
        <f>CONCATENATE("'ALL JOBS'!D",ROW(AF4)+6)</f>
        <v>'ALL JOBS'!D10</v>
      </c>
      <c r="AH4" s="20" t="str">
        <f>CONCATENATE("'ALL JOBS'!F",ROW(AF4)+6)</f>
        <v>'ALL JOBS'!F10</v>
      </c>
      <c r="AJ4" s="20" t="b">
        <f ca="1">(OR(INDIRECT(L4)=MAX('ALL JOBS'!A:A),AJ3))</f>
        <v>0</v>
      </c>
    </row>
    <row r="5" spans="1:37" ht="30" customHeight="1">
      <c r="A5" s="20">
        <f t="shared" ca="1" si="0"/>
        <v>4</v>
      </c>
      <c r="B5" s="17" t="str">
        <f t="shared" ca="1" si="1"/>
        <v>Restock pumpout cards (not maintenance - charge to pump out)</v>
      </c>
      <c r="C5" s="18">
        <f t="shared" ca="1" si="2"/>
        <v>0</v>
      </c>
      <c r="D5" s="18" t="str">
        <f t="shared" ca="1" si="2"/>
        <v>Pumpout</v>
      </c>
      <c r="E5" s="18" t="str">
        <f t="shared" ca="1" si="2"/>
        <v>DA</v>
      </c>
      <c r="F5" s="19">
        <f t="shared" ca="1" si="2"/>
        <v>0</v>
      </c>
      <c r="G5" s="20" t="str">
        <f ca="1">IF($C$1="ALL",IF(INDIRECT(AH5)="","",IF(INDIRECT(AG5)&gt;MAX(Budget!$B$3,Budget!$E$3),"","Y")),IF(ISERR(FIND($C$1,INDIRECT(AH5))),"",IF(INDIRECT(AG5)&gt;MAX(Budget!$B$3,Budget!$E$3),"","Y")))</f>
        <v>Y</v>
      </c>
      <c r="H5" s="20">
        <f>ROW(G5)</f>
        <v>5</v>
      </c>
      <c r="I5" s="20">
        <f ca="1">VLOOKUP("Y",INDIRECT(K5),2,FALSE)</f>
        <v>7</v>
      </c>
      <c r="J5" s="20">
        <f ca="1">VLOOKUP("Y",INDIRECT(K5),2,FALSE)</f>
        <v>7</v>
      </c>
      <c r="K5" s="20" t="str">
        <f ca="1">CONCATENATE("G",J4+1,":I",'ALL JOBS'!$K$9)</f>
        <v>G7:I56</v>
      </c>
      <c r="L5" s="20" t="str">
        <f t="shared" ref="L5:L68" ca="1" si="14">CONCATENATE("'ALL JOBS'!A",$J5+$K$3)</f>
        <v>'ALL JOBS'!A13</v>
      </c>
      <c r="M5" s="20" t="str">
        <f t="shared" ca="1" si="3"/>
        <v>'ALL JOBS'!B13</v>
      </c>
      <c r="N5" s="20" t="str">
        <f t="shared" ca="1" si="4"/>
        <v>'ALL JOBS'!D13</v>
      </c>
      <c r="O5" s="20" t="str">
        <f t="shared" ca="1" si="5"/>
        <v>'ALL JOBS'!E13</v>
      </c>
      <c r="P5" s="20" t="str">
        <f t="shared" ca="1" si="6"/>
        <v>'ALL JOBS'!F13</v>
      </c>
      <c r="Q5" s="20" t="str">
        <f t="shared" ca="1" si="7"/>
        <v>'ALL JOBS'!G13</v>
      </c>
      <c r="R5" s="20" t="str">
        <f t="shared" ca="1" si="8"/>
        <v>'ALL JOBS'!D13</v>
      </c>
      <c r="S5" s="18" t="str">
        <f ca="1">IF(ISNA(I5),"","Y")</f>
        <v>Y</v>
      </c>
      <c r="T5" s="21" t="str">
        <f>IF($C$1="ALL",IF('ALL JOBS'!F11="","",IF('ALL JOBS'!D11&lt;=Budget!$B$3,"","Y")),IF(ISERR(FIND($C$1,'ALL JOBS'!F11)),IF($E$1="","",IF(ISERR(FIND($E$1,'ALL JOBS'!F11)),"",IF('ALL JOBS'!D11&lt;=Budget!$B$3,"","Y"))),IF('ALL JOBS'!D11&lt;=Budget!$B$3,"","Y")))</f>
        <v/>
      </c>
      <c r="U5" s="20">
        <f>H5</f>
        <v>5</v>
      </c>
      <c r="V5" s="20">
        <f ca="1">IF(AND(ISNA(I5),ISNA(I4),ISNA(I2)),VLOOKUP("Y",INDIRECT(W5),2,FALSE),V4)</f>
        <v>2</v>
      </c>
      <c r="W5" s="20" t="str">
        <f ca="1">CONCATENATE("T",V4+1,":U72")</f>
        <v>T3:U72</v>
      </c>
      <c r="X5" s="20" t="str">
        <f t="shared" ref="X5:X68" ca="1" si="15">CONCATENATE("'ALL JOBS'!A",$V5+$K$3)</f>
        <v>'ALL JOBS'!A8</v>
      </c>
      <c r="Y5" s="20" t="str">
        <f t="shared" ca="1" si="9"/>
        <v>'ALL JOBS'!B8</v>
      </c>
      <c r="Z5" s="20" t="str">
        <f t="shared" ca="1" si="10"/>
        <v>'ALL JOBS'!D8</v>
      </c>
      <c r="AA5" s="20" t="str">
        <f t="shared" ca="1" si="11"/>
        <v>'ALL JOBS'!E8</v>
      </c>
      <c r="AB5" s="20" t="str">
        <f t="shared" ref="AB5:AB68" ca="1" si="16">CONCATENATE("'ALL JOBS'!F",$V5+$K$3)</f>
        <v>'ALL JOBS'!F8</v>
      </c>
      <c r="AC5" s="20" t="str">
        <f t="shared" ca="1" si="12"/>
        <v>'ALL JOBS'!G8</v>
      </c>
      <c r="AD5" s="20" t="str">
        <f t="shared" ca="1" si="13"/>
        <v>'ALL JOBS'!D13</v>
      </c>
      <c r="AE5" s="20" t="str">
        <f ca="1">IF(ISNA(V5),"",IF(V5=V4,"","Y"))</f>
        <v/>
      </c>
      <c r="AF5" s="20">
        <f ca="1">IF(AND($AE6="Y",$AE5=""),"",IF($AE5="Y",0,IF($S5="Y",ROW(B5)-3,"")))</f>
        <v>2</v>
      </c>
      <c r="AG5" s="20" t="str">
        <f>CONCATENATE("'ALL JOBS'!D",ROW(AF5)+6)</f>
        <v>'ALL JOBS'!D11</v>
      </c>
      <c r="AH5" s="20" t="str">
        <f>CONCATENATE("'ALL JOBS'!F",ROW(AF5)+6)</f>
        <v>'ALL JOBS'!F11</v>
      </c>
      <c r="AJ5" s="20" t="b">
        <f ca="1">(OR(INDIRECT(L5)=MAX('ALL JOBS'!A:A),AJ4))</f>
        <v>0</v>
      </c>
    </row>
    <row r="6" spans="1:37" ht="30" customHeight="1">
      <c r="A6" s="20">
        <f t="shared" ca="1" si="0"/>
        <v>5</v>
      </c>
      <c r="B6" s="17" t="str">
        <f t="shared" ca="1" si="1"/>
        <v>Check compliance issues. Check for new/changed requirements.  (not needed - due 2022)</v>
      </c>
      <c r="C6" s="18">
        <f t="shared" ca="1" si="2"/>
        <v>0</v>
      </c>
      <c r="D6" s="18" t="str">
        <f t="shared" ca="1" si="2"/>
        <v>Start of Season</v>
      </c>
      <c r="E6" s="18" t="str">
        <f t="shared" ca="1" si="2"/>
        <v>DA/DRK</v>
      </c>
      <c r="F6" s="19">
        <f t="shared" ca="1" si="2"/>
        <v>0</v>
      </c>
      <c r="G6" s="20" t="str">
        <f ca="1">IF($C$1="ALL",IF(INDIRECT(AH6)="","",IF(INDIRECT(AG6)&gt;MAX(Budget!$B$3,Budget!$E$3),"","Y")),IF(ISERR(FIND($C$1,INDIRECT(AH6))),"",IF(INDIRECT(AG6)&gt;MAX(Budget!$B$3,Budget!$E$3),"","Y")))</f>
        <v>Y</v>
      </c>
      <c r="H6" s="20">
        <f>ROW(G6)</f>
        <v>6</v>
      </c>
      <c r="I6" s="20">
        <f ca="1">VLOOKUP("Y",INDIRECT(K6),2,FALSE)</f>
        <v>8</v>
      </c>
      <c r="J6" s="20">
        <f ca="1">VLOOKUP("Y",INDIRECT(K6),2,FALSE)</f>
        <v>8</v>
      </c>
      <c r="K6" s="20" t="str">
        <f ca="1">CONCATENATE("G",J5+1,":I",'ALL JOBS'!$K$9)</f>
        <v>G8:I56</v>
      </c>
      <c r="L6" s="20" t="str">
        <f t="shared" ca="1" si="14"/>
        <v>'ALL JOBS'!A14</v>
      </c>
      <c r="M6" s="20" t="str">
        <f t="shared" ca="1" si="3"/>
        <v>'ALL JOBS'!B14</v>
      </c>
      <c r="N6" s="20" t="str">
        <f t="shared" ca="1" si="4"/>
        <v>'ALL JOBS'!D14</v>
      </c>
      <c r="O6" s="20" t="str">
        <f t="shared" ca="1" si="5"/>
        <v>'ALL JOBS'!E14</v>
      </c>
      <c r="P6" s="20" t="str">
        <f t="shared" ca="1" si="6"/>
        <v>'ALL JOBS'!F14</v>
      </c>
      <c r="Q6" s="20" t="str">
        <f t="shared" ca="1" si="7"/>
        <v>'ALL JOBS'!G14</v>
      </c>
      <c r="R6" s="20" t="str">
        <f t="shared" ca="1" si="8"/>
        <v>'ALL JOBS'!D14</v>
      </c>
      <c r="S6" s="18" t="str">
        <f ca="1">IF(ISNA(I6),"","Y")</f>
        <v>Y</v>
      </c>
      <c r="T6" s="21" t="str">
        <f>IF($C$1="ALL",IF('ALL JOBS'!F12="","",IF('ALL JOBS'!D12&lt;=Budget!$B$3,"","Y")),IF(ISERR(FIND($C$1,'ALL JOBS'!F12)),IF($E$1="","",IF(ISERR(FIND($E$1,'ALL JOBS'!F12)),"",IF('ALL JOBS'!D12&lt;=Budget!$B$3,"","Y"))),IF('ALL JOBS'!D12&lt;=Budget!$B$3,"","Y")))</f>
        <v/>
      </c>
      <c r="U6" s="20">
        <f>H6</f>
        <v>6</v>
      </c>
      <c r="V6" s="20">
        <f ca="1">IF(AND(ISNA(I6),ISNA(I5),ISNA(I3)),VLOOKUP("Y",INDIRECT(W6),2,FALSE),V5)</f>
        <v>2</v>
      </c>
      <c r="W6" s="20" t="str">
        <f ca="1">CONCATENATE("T",V5+1,":U72")</f>
        <v>T3:U72</v>
      </c>
      <c r="X6" s="20" t="str">
        <f t="shared" ca="1" si="15"/>
        <v>'ALL JOBS'!A8</v>
      </c>
      <c r="Y6" s="20" t="str">
        <f t="shared" ca="1" si="9"/>
        <v>'ALL JOBS'!B8</v>
      </c>
      <c r="Z6" s="20" t="str">
        <f t="shared" ca="1" si="10"/>
        <v>'ALL JOBS'!D8</v>
      </c>
      <c r="AA6" s="20" t="str">
        <f t="shared" ca="1" si="11"/>
        <v>'ALL JOBS'!E8</v>
      </c>
      <c r="AB6" s="20" t="str">
        <f t="shared" ca="1" si="16"/>
        <v>'ALL JOBS'!F8</v>
      </c>
      <c r="AC6" s="20" t="str">
        <f t="shared" ca="1" si="12"/>
        <v>'ALL JOBS'!G8</v>
      </c>
      <c r="AD6" s="20" t="str">
        <f t="shared" ca="1" si="13"/>
        <v>'ALL JOBS'!D14</v>
      </c>
      <c r="AE6" s="20" t="str">
        <f ca="1">IF(ISNA(V6),"",IF(V6=V5,"","Y"))</f>
        <v/>
      </c>
      <c r="AF6" s="20">
        <f ca="1">IF(AND($AE7="Y",$AE6=""),"",IF($AE6="Y",0,IF($S6="Y",ROW(B6)-3,"")))</f>
        <v>3</v>
      </c>
      <c r="AG6" s="20" t="str">
        <f>CONCATENATE("'ALL JOBS'!D",ROW(AF6)+6)</f>
        <v>'ALL JOBS'!D12</v>
      </c>
      <c r="AH6" s="20" t="str">
        <f>CONCATENATE("'ALL JOBS'!F",ROW(AF6)+6)</f>
        <v>'ALL JOBS'!F12</v>
      </c>
      <c r="AJ6" s="20" t="b">
        <f ca="1">(OR(INDIRECT(L6)=MAX('ALL JOBS'!A:A),AJ5))</f>
        <v>0</v>
      </c>
    </row>
    <row r="7" spans="1:37" ht="30" customHeight="1">
      <c r="A7" s="20">
        <f t="shared" ca="1" si="0"/>
        <v>6</v>
      </c>
      <c r="B7" s="17" t="str">
        <f t="shared" ca="1" si="1"/>
        <v xml:space="preserve">Pressure test the gas lines </v>
      </c>
      <c r="C7" s="18">
        <f t="shared" ca="1" si="2"/>
        <v>0</v>
      </c>
      <c r="D7" s="18" t="str">
        <f t="shared" ca="1" si="2"/>
        <v>Start of Season</v>
      </c>
      <c r="E7" s="18" t="str">
        <f t="shared" ca="1" si="2"/>
        <v>DRK</v>
      </c>
      <c r="F7" s="19">
        <f t="shared" ca="1" si="2"/>
        <v>0</v>
      </c>
      <c r="G7" s="20" t="str">
        <f ca="1">IF($C$1="ALL",IF(INDIRECT(AH7)="","",IF(INDIRECT(AG7)&gt;MAX(Budget!$B$3,Budget!$E$3),"","Y")),IF(ISERR(FIND($C$1,INDIRECT(AH7))),"",IF(INDIRECT(AG7)&gt;MAX(Budget!$B$3,Budget!$E$3),"","Y")))</f>
        <v>Y</v>
      </c>
      <c r="H7" s="20">
        <f>ROW(G7)</f>
        <v>7</v>
      </c>
      <c r="I7" s="20">
        <f ca="1">VLOOKUP("Y",INDIRECT(K7),2,FALSE)</f>
        <v>9</v>
      </c>
      <c r="J7" s="20">
        <f ca="1">VLOOKUP("Y",INDIRECT(K7),2,FALSE)</f>
        <v>9</v>
      </c>
      <c r="K7" s="20" t="str">
        <f ca="1">CONCATENATE("G",J6+1,":I",'ALL JOBS'!$K$9)</f>
        <v>G9:I56</v>
      </c>
      <c r="L7" s="20" t="str">
        <f t="shared" ca="1" si="14"/>
        <v>'ALL JOBS'!A15</v>
      </c>
      <c r="M7" s="20" t="str">
        <f t="shared" ca="1" si="3"/>
        <v>'ALL JOBS'!B15</v>
      </c>
      <c r="N7" s="20" t="str">
        <f t="shared" ca="1" si="4"/>
        <v>'ALL JOBS'!D15</v>
      </c>
      <c r="O7" s="20" t="str">
        <f t="shared" ca="1" si="5"/>
        <v>'ALL JOBS'!E15</v>
      </c>
      <c r="P7" s="20" t="str">
        <f t="shared" ca="1" si="6"/>
        <v>'ALL JOBS'!F15</v>
      </c>
      <c r="Q7" s="20" t="str">
        <f t="shared" ca="1" si="7"/>
        <v>'ALL JOBS'!G15</v>
      </c>
      <c r="R7" s="20" t="str">
        <f t="shared" ca="1" si="8"/>
        <v>'ALL JOBS'!D15</v>
      </c>
      <c r="S7" s="18" t="str">
        <f ca="1">IF(ISNA(I7),"","Y")</f>
        <v>Y</v>
      </c>
      <c r="T7" s="21" t="str">
        <f>IF($C$1="ALL",IF('ALL JOBS'!F13="","",IF('ALL JOBS'!D13&lt;=Budget!$B$3,"","Y")),IF(ISERR(FIND($C$1,'ALL JOBS'!F13)),IF($E$1="","",IF(ISERR(FIND($E$1,'ALL JOBS'!F13)),"",IF('ALL JOBS'!D13&lt;=Budget!$B$3,"","Y"))),IF('ALL JOBS'!D13&lt;=Budget!$B$3,"","Y")))</f>
        <v/>
      </c>
      <c r="U7" s="20">
        <f>H7</f>
        <v>7</v>
      </c>
      <c r="V7" s="20">
        <f ca="1">IF(AND(ISNA(I7),ISNA(I6),ISNA(I4)),VLOOKUP("Y",INDIRECT(W7),2,FALSE),V6)</f>
        <v>2</v>
      </c>
      <c r="W7" s="20" t="str">
        <f ca="1">CONCATENATE("T",V6+1,":U72")</f>
        <v>T3:U72</v>
      </c>
      <c r="X7" s="20" t="str">
        <f t="shared" ca="1" si="15"/>
        <v>'ALL JOBS'!A8</v>
      </c>
      <c r="Y7" s="20" t="str">
        <f t="shared" ca="1" si="9"/>
        <v>'ALL JOBS'!B8</v>
      </c>
      <c r="Z7" s="20" t="str">
        <f t="shared" ca="1" si="10"/>
        <v>'ALL JOBS'!D8</v>
      </c>
      <c r="AA7" s="20" t="str">
        <f t="shared" ca="1" si="11"/>
        <v>'ALL JOBS'!E8</v>
      </c>
      <c r="AB7" s="20" t="str">
        <f t="shared" ca="1" si="16"/>
        <v>'ALL JOBS'!F8</v>
      </c>
      <c r="AC7" s="20" t="str">
        <f t="shared" ca="1" si="12"/>
        <v>'ALL JOBS'!G8</v>
      </c>
      <c r="AD7" s="20" t="str">
        <f t="shared" ca="1" si="13"/>
        <v>'ALL JOBS'!D15</v>
      </c>
      <c r="AE7" s="20" t="str">
        <f ca="1">IF(ISNA(V7),"",IF(V7=V6,"","Y"))</f>
        <v/>
      </c>
      <c r="AF7" s="20">
        <f ca="1">IF(AND($AE8="Y",$AE7=""),"",IF($AE7="Y",0,IF($S7="Y",ROW(B7)-3,"")))</f>
        <v>4</v>
      </c>
      <c r="AG7" s="20" t="str">
        <f>CONCATENATE("'ALL JOBS'!D",ROW(AF7)+6)</f>
        <v>'ALL JOBS'!D13</v>
      </c>
      <c r="AH7" s="20" t="str">
        <f>CONCATENATE("'ALL JOBS'!F",ROW(AF7)+6)</f>
        <v>'ALL JOBS'!F13</v>
      </c>
      <c r="AJ7" s="20" t="b">
        <f ca="1">(OR(INDIRECT(L7)=MAX('ALL JOBS'!A:A),AJ6))</f>
        <v>0</v>
      </c>
    </row>
    <row r="8" spans="1:37" ht="30" customHeight="1">
      <c r="A8" s="20">
        <f t="shared" ca="1" si="0"/>
        <v>8</v>
      </c>
      <c r="B8" s="17" t="str">
        <f t="shared" ca="1" si="1"/>
        <v xml:space="preserve">Check operation of both loos.  Lubricate foot pedal. To retain water, polish ball &amp; descale rubber rings. </v>
      </c>
      <c r="C8" s="18">
        <f t="shared" ca="1" si="2"/>
        <v>0</v>
      </c>
      <c r="D8" s="18" t="str">
        <f t="shared" ca="1" si="2"/>
        <v>Start of Season</v>
      </c>
      <c r="E8" s="18" t="str">
        <f t="shared" ca="1" si="2"/>
        <v>CJ</v>
      </c>
      <c r="F8" s="19">
        <f t="shared" ca="1" si="2"/>
        <v>0</v>
      </c>
      <c r="G8" s="20" t="str">
        <f ca="1">IF($C$1="ALL",IF(INDIRECT(AH8)="","",IF(INDIRECT(AG8)&gt;MAX(Budget!$B$3,Budget!$E$3),"","Y")),IF(ISERR(FIND($C$1,INDIRECT(AH8))),"",IF(INDIRECT(AG8)&gt;MAX(Budget!$B$3,Budget!$E$3),"","Y")))</f>
        <v>Y</v>
      </c>
      <c r="H8" s="20">
        <f>ROW(G8)</f>
        <v>8</v>
      </c>
      <c r="I8" s="20">
        <f ca="1">VLOOKUP("Y",INDIRECT(K8),2,FALSE)</f>
        <v>12</v>
      </c>
      <c r="J8" s="20">
        <f ca="1">VLOOKUP("Y",INDIRECT(K8),2,FALSE)</f>
        <v>12</v>
      </c>
      <c r="K8" s="20" t="str">
        <f ca="1">CONCATENATE("G",J7+1,":I",'ALL JOBS'!$K$9)</f>
        <v>G10:I56</v>
      </c>
      <c r="L8" s="20" t="str">
        <f t="shared" ca="1" si="14"/>
        <v>'ALL JOBS'!A18</v>
      </c>
      <c r="M8" s="20" t="str">
        <f t="shared" ca="1" si="3"/>
        <v>'ALL JOBS'!B18</v>
      </c>
      <c r="N8" s="20" t="str">
        <f t="shared" ca="1" si="4"/>
        <v>'ALL JOBS'!D18</v>
      </c>
      <c r="O8" s="20" t="str">
        <f t="shared" ca="1" si="5"/>
        <v>'ALL JOBS'!E18</v>
      </c>
      <c r="P8" s="20" t="str">
        <f t="shared" ca="1" si="6"/>
        <v>'ALL JOBS'!F18</v>
      </c>
      <c r="Q8" s="20" t="str">
        <f t="shared" ca="1" si="7"/>
        <v>'ALL JOBS'!G18</v>
      </c>
      <c r="R8" s="20" t="str">
        <f t="shared" ca="1" si="8"/>
        <v>'ALL JOBS'!D18</v>
      </c>
      <c r="S8" s="18" t="str">
        <f ca="1">IF(ISNA(I8),"","Y")</f>
        <v>Y</v>
      </c>
      <c r="T8" s="21" t="str">
        <f>IF($C$1="ALL",IF('ALL JOBS'!F14="","",IF('ALL JOBS'!D14&lt;=Budget!$B$3,"","Y")),IF(ISERR(FIND($C$1,'ALL JOBS'!F14)),IF($E$1="","",IF(ISERR(FIND($E$1,'ALL JOBS'!F14)),"",IF('ALL JOBS'!D14&lt;=Budget!$B$3,"","Y"))),IF('ALL JOBS'!D14&lt;=Budget!$B$3,"","Y")))</f>
        <v/>
      </c>
      <c r="U8" s="20">
        <f>H8</f>
        <v>8</v>
      </c>
      <c r="V8" s="20">
        <f ca="1">IF(AND(ISNA(I8),ISNA(I7),ISNA(I5)),VLOOKUP("Y",INDIRECT(W8),2,FALSE),V7)</f>
        <v>2</v>
      </c>
      <c r="W8" s="20" t="str">
        <f ca="1">CONCATENATE("T",V7+1,":U72")</f>
        <v>T3:U72</v>
      </c>
      <c r="X8" s="20" t="str">
        <f t="shared" ca="1" si="15"/>
        <v>'ALL JOBS'!A8</v>
      </c>
      <c r="Y8" s="20" t="str">
        <f t="shared" ca="1" si="9"/>
        <v>'ALL JOBS'!B8</v>
      </c>
      <c r="Z8" s="20" t="str">
        <f t="shared" ca="1" si="10"/>
        <v>'ALL JOBS'!D8</v>
      </c>
      <c r="AA8" s="20" t="str">
        <f t="shared" ca="1" si="11"/>
        <v>'ALL JOBS'!E8</v>
      </c>
      <c r="AB8" s="20" t="str">
        <f t="shared" ca="1" si="16"/>
        <v>'ALL JOBS'!F8</v>
      </c>
      <c r="AC8" s="20" t="str">
        <f t="shared" ca="1" si="12"/>
        <v>'ALL JOBS'!G8</v>
      </c>
      <c r="AD8" s="20" t="str">
        <f t="shared" ca="1" si="13"/>
        <v>'ALL JOBS'!D18</v>
      </c>
      <c r="AE8" s="20" t="str">
        <f ca="1">IF(ISNA(V8),"",IF(V8=V7,"","Y"))</f>
        <v/>
      </c>
      <c r="AF8" s="20">
        <f ca="1">IF(AND($AE9="Y",$AE8=""),"",IF($AE8="Y",0,IF($S8="Y",ROW(B8)-3,"")))</f>
        <v>5</v>
      </c>
      <c r="AG8" s="20" t="str">
        <f>CONCATENATE("'ALL JOBS'!D",ROW(AF8)+6)</f>
        <v>'ALL JOBS'!D14</v>
      </c>
      <c r="AH8" s="20" t="str">
        <f>CONCATENATE("'ALL JOBS'!F",ROW(AF8)+6)</f>
        <v>'ALL JOBS'!F14</v>
      </c>
      <c r="AJ8" s="20" t="b">
        <f ca="1">(OR(INDIRECT(L8)=MAX('ALL JOBS'!A:A),AJ7))</f>
        <v>0</v>
      </c>
    </row>
    <row r="9" spans="1:37" ht="30" customHeight="1">
      <c r="A9" s="20">
        <f t="shared" ca="1" si="0"/>
        <v>9</v>
      </c>
      <c r="B9" s="17" t="str">
        <f t="shared" ca="1" si="1"/>
        <v>Refurbish rear loo so bowl holds water, we have all the parts.  Front loo loose?</v>
      </c>
      <c r="C9" s="18">
        <f t="shared" ref="C9:C19" ca="1" si="17">IF(AND($AE10="Y",$AE9=""),"",IF($AE9="Y",INDIRECT(Z9),IF($S9="Y",INDIRECT(N9),"")))</f>
        <v>0</v>
      </c>
      <c r="D9" s="18" t="str">
        <f t="shared" ref="D9:D19" ca="1" si="18">IF(AND($AE10="Y",$AE9=""),"",IF($AE9="Y",INDIRECT(AA9),IF($S9="Y",INDIRECT(O9),"")))</f>
        <v>Start of Season</v>
      </c>
      <c r="E9" s="18" t="str">
        <f t="shared" ref="E9:E19" ca="1" si="19">IF(AND($AE10="Y",$AE9=""),"",IF($AE9="Y",INDIRECT(AB9),IF($S9="Y",INDIRECT(P9),"")))</f>
        <v>CJ</v>
      </c>
      <c r="F9" s="19">
        <f t="shared" ref="F9:F19" ca="1" si="20">IF(AND($AE10="Y",$AE9=""),"",IF($AE9="Y",INDIRECT(AC9),IF($S9="Y",INDIRECT(Q9),"")))</f>
        <v>0</v>
      </c>
      <c r="G9" s="20" t="str">
        <f ca="1">IF($C$1="ALL",IF(INDIRECT(AH9)="","",IF(INDIRECT(AG9)&gt;MAX(Budget!$B$3,Budget!$E$3),"","Y")),IF(ISERR(FIND($C$1,INDIRECT(AH9))),"",IF(INDIRECT(AG9)&gt;MAX(Budget!$B$3,Budget!$E$3),"","Y")))</f>
        <v>Y</v>
      </c>
      <c r="H9" s="20">
        <f t="shared" ref="H9:H19" si="21">ROW(G9)</f>
        <v>9</v>
      </c>
      <c r="I9" s="20">
        <f t="shared" ref="I9:I19" ca="1" si="22">VLOOKUP("Y",INDIRECT(K9),2,FALSE)</f>
        <v>13</v>
      </c>
      <c r="J9" s="20">
        <f t="shared" ref="J9:J19" ca="1" si="23">VLOOKUP("Y",INDIRECT(K9),2,FALSE)</f>
        <v>13</v>
      </c>
      <c r="K9" s="20" t="str">
        <f ca="1">CONCATENATE("G",J8+1,":I",'ALL JOBS'!$K$9)</f>
        <v>G13:I56</v>
      </c>
      <c r="L9" s="20" t="str">
        <f t="shared" ca="1" si="14"/>
        <v>'ALL JOBS'!A19</v>
      </c>
      <c r="M9" s="20" t="str">
        <f t="shared" ca="1" si="3"/>
        <v>'ALL JOBS'!B19</v>
      </c>
      <c r="N9" s="20" t="str">
        <f t="shared" ca="1" si="4"/>
        <v>'ALL JOBS'!D19</v>
      </c>
      <c r="O9" s="20" t="str">
        <f t="shared" ca="1" si="5"/>
        <v>'ALL JOBS'!E19</v>
      </c>
      <c r="P9" s="20" t="str">
        <f t="shared" ca="1" si="6"/>
        <v>'ALL JOBS'!F19</v>
      </c>
      <c r="Q9" s="20" t="str">
        <f t="shared" ca="1" si="7"/>
        <v>'ALL JOBS'!G19</v>
      </c>
      <c r="R9" s="20" t="str">
        <f t="shared" ca="1" si="8"/>
        <v>'ALL JOBS'!D19</v>
      </c>
      <c r="S9" s="18" t="str">
        <f t="shared" ref="S9:S19" ca="1" si="24">IF(ISNA(I9),"","Y")</f>
        <v>Y</v>
      </c>
      <c r="T9" s="21" t="str">
        <f>IF($C$1="ALL",IF('ALL JOBS'!F15="","",IF('ALL JOBS'!D15&lt;=Budget!$B$3,"","Y")),IF(ISERR(FIND($C$1,'ALL JOBS'!F15)),IF($E$1="","",IF(ISERR(FIND($E$1,'ALL JOBS'!F15)),"",IF('ALL JOBS'!D15&lt;=Budget!$B$3,"","Y"))),IF('ALL JOBS'!D15&lt;=Budget!$B$3,"","Y")))</f>
        <v/>
      </c>
      <c r="U9" s="20">
        <f t="shared" ref="U9:U19" si="25">H9</f>
        <v>9</v>
      </c>
      <c r="V9" s="20">
        <f t="shared" ref="V9:V19" ca="1" si="26">IF(AND(ISNA(I9),ISNA(I8),ISNA(I6)),VLOOKUP("Y",INDIRECT(W9),2,FALSE),V8)</f>
        <v>2</v>
      </c>
      <c r="W9" s="20" t="str">
        <f t="shared" ref="W9:W19" ca="1" si="27">CONCATENATE("T",V8+1,":U72")</f>
        <v>T3:U72</v>
      </c>
      <c r="X9" s="20" t="str">
        <f t="shared" ca="1" si="15"/>
        <v>'ALL JOBS'!A8</v>
      </c>
      <c r="Y9" s="20" t="str">
        <f t="shared" ca="1" si="9"/>
        <v>'ALL JOBS'!B8</v>
      </c>
      <c r="Z9" s="20" t="str">
        <f t="shared" ca="1" si="10"/>
        <v>'ALL JOBS'!D8</v>
      </c>
      <c r="AA9" s="20" t="str">
        <f t="shared" ca="1" si="11"/>
        <v>'ALL JOBS'!E8</v>
      </c>
      <c r="AB9" s="20" t="str">
        <f t="shared" ca="1" si="16"/>
        <v>'ALL JOBS'!F8</v>
      </c>
      <c r="AC9" s="20" t="str">
        <f t="shared" ca="1" si="12"/>
        <v>'ALL JOBS'!G8</v>
      </c>
      <c r="AD9" s="20" t="str">
        <f t="shared" ca="1" si="13"/>
        <v>'ALL JOBS'!D19</v>
      </c>
      <c r="AE9" s="20" t="str">
        <f t="shared" ref="AE9:AE19" ca="1" si="28">IF(ISNA(V9),"",IF(V9=V8,"","Y"))</f>
        <v/>
      </c>
      <c r="AF9" s="20">
        <f t="shared" ref="AF9:AF19" ca="1" si="29">IF(AND($AE10="Y",$AE9=""),"",IF($AE9="Y",0,IF($S9="Y",ROW(B9)-3,"")))</f>
        <v>6</v>
      </c>
      <c r="AG9" s="20" t="str">
        <f t="shared" ref="AG9:AG19" si="30">CONCATENATE("'ALL JOBS'!D",ROW(AF9)+6)</f>
        <v>'ALL JOBS'!D15</v>
      </c>
      <c r="AH9" s="20" t="str">
        <f t="shared" ref="AH9:AH19" si="31">CONCATENATE("'ALL JOBS'!F",ROW(AF9)+6)</f>
        <v>'ALL JOBS'!F15</v>
      </c>
      <c r="AJ9" s="20" t="b">
        <f ca="1">(OR(INDIRECT(L9)=MAX('ALL JOBS'!A:A),AJ8))</f>
        <v>0</v>
      </c>
    </row>
    <row r="10" spans="1:37" ht="30" customHeight="1">
      <c r="A10" s="20">
        <f t="shared" ca="1" si="0"/>
        <v>10</v>
      </c>
      <c r="B10" s="17" t="str">
        <f t="shared" ca="1" si="1"/>
        <v xml:space="preserve">De-winterise water pump,check for leaks, reinstall, change water filter. Re-install Port Side Heating pump and shower. </v>
      </c>
      <c r="C10" s="18">
        <f t="shared" ca="1" si="17"/>
        <v>0</v>
      </c>
      <c r="D10" s="18" t="str">
        <f t="shared" ca="1" si="18"/>
        <v>Start of Season</v>
      </c>
      <c r="E10" s="18" t="str">
        <f t="shared" ca="1" si="19"/>
        <v>DRK</v>
      </c>
      <c r="F10" s="19">
        <f t="shared" ca="1" si="20"/>
        <v>100</v>
      </c>
      <c r="G10" s="20" t="str">
        <f ca="1">IF($C$1="ALL",IF(INDIRECT(AH10)="","",IF(INDIRECT(AG10)&gt;MAX(Budget!$B$3,Budget!$E$3),"","Y")),IF(ISERR(FIND($C$1,INDIRECT(AH10))),"",IF(INDIRECT(AG10)&gt;MAX(Budget!$B$3,Budget!$E$3),"","Y")))</f>
        <v/>
      </c>
      <c r="H10" s="20">
        <f t="shared" si="21"/>
        <v>10</v>
      </c>
      <c r="I10" s="20">
        <f t="shared" ca="1" si="22"/>
        <v>14</v>
      </c>
      <c r="J10" s="20">
        <f t="shared" ca="1" si="23"/>
        <v>14</v>
      </c>
      <c r="K10" s="20" t="str">
        <f ca="1">CONCATENATE("G",J9+1,":I",'ALL JOBS'!$K$9)</f>
        <v>G14:I56</v>
      </c>
      <c r="L10" s="20" t="str">
        <f t="shared" ca="1" si="14"/>
        <v>'ALL JOBS'!A20</v>
      </c>
      <c r="M10" s="20" t="str">
        <f t="shared" ca="1" si="3"/>
        <v>'ALL JOBS'!B20</v>
      </c>
      <c r="N10" s="20" t="str">
        <f t="shared" ca="1" si="4"/>
        <v>'ALL JOBS'!D20</v>
      </c>
      <c r="O10" s="20" t="str">
        <f t="shared" ca="1" si="5"/>
        <v>'ALL JOBS'!E20</v>
      </c>
      <c r="P10" s="20" t="str">
        <f t="shared" ca="1" si="6"/>
        <v>'ALL JOBS'!F20</v>
      </c>
      <c r="Q10" s="20" t="str">
        <f t="shared" ca="1" si="7"/>
        <v>'ALL JOBS'!G20</v>
      </c>
      <c r="R10" s="20" t="str">
        <f t="shared" ca="1" si="8"/>
        <v>'ALL JOBS'!D20</v>
      </c>
      <c r="S10" s="18" t="str">
        <f t="shared" ca="1" si="24"/>
        <v>Y</v>
      </c>
      <c r="T10" s="21" t="str">
        <f>IF($C$1="ALL",IF('ALL JOBS'!F16="","",IF('ALL JOBS'!D16&lt;=Budget!$B$3,"","Y")),IF(ISERR(FIND($C$1,'ALL JOBS'!F16)),IF($E$1="","",IF(ISERR(FIND($E$1,'ALL JOBS'!F16)),"",IF('ALL JOBS'!D16&lt;=Budget!$B$3,"","Y"))),IF('ALL JOBS'!D16&lt;=Budget!$B$3,"","Y")))</f>
        <v/>
      </c>
      <c r="U10" s="20">
        <f t="shared" si="25"/>
        <v>10</v>
      </c>
      <c r="V10" s="20">
        <f t="shared" ca="1" si="26"/>
        <v>2</v>
      </c>
      <c r="W10" s="20" t="str">
        <f t="shared" ca="1" si="27"/>
        <v>T3:U72</v>
      </c>
      <c r="X10" s="20" t="str">
        <f t="shared" ca="1" si="15"/>
        <v>'ALL JOBS'!A8</v>
      </c>
      <c r="Y10" s="20" t="str">
        <f t="shared" ca="1" si="9"/>
        <v>'ALL JOBS'!B8</v>
      </c>
      <c r="Z10" s="20" t="str">
        <f t="shared" ca="1" si="10"/>
        <v>'ALL JOBS'!D8</v>
      </c>
      <c r="AA10" s="20" t="str">
        <f t="shared" ca="1" si="11"/>
        <v>'ALL JOBS'!E8</v>
      </c>
      <c r="AB10" s="20" t="str">
        <f t="shared" ca="1" si="16"/>
        <v>'ALL JOBS'!F8</v>
      </c>
      <c r="AC10" s="20" t="str">
        <f t="shared" ca="1" si="12"/>
        <v>'ALL JOBS'!G8</v>
      </c>
      <c r="AD10" s="20" t="str">
        <f t="shared" ca="1" si="13"/>
        <v>'ALL JOBS'!D20</v>
      </c>
      <c r="AE10" s="20" t="str">
        <f t="shared" ca="1" si="28"/>
        <v/>
      </c>
      <c r="AF10" s="20">
        <f t="shared" ca="1" si="29"/>
        <v>7</v>
      </c>
      <c r="AG10" s="20" t="str">
        <f t="shared" si="30"/>
        <v>'ALL JOBS'!D16</v>
      </c>
      <c r="AH10" s="20" t="str">
        <f t="shared" si="31"/>
        <v>'ALL JOBS'!F16</v>
      </c>
      <c r="AJ10" s="20" t="b">
        <f ca="1">(OR(INDIRECT(L10)=MAX('ALL JOBS'!A:A),AJ9))</f>
        <v>0</v>
      </c>
    </row>
    <row r="11" spans="1:37" ht="30" customHeight="1">
      <c r="A11" s="20">
        <f t="shared" ca="1" si="0"/>
        <v>11</v>
      </c>
      <c r="B11" s="17" t="str">
        <f t="shared" ca="1" si="1"/>
        <v>Restock water filters &amp; Freezeban</v>
      </c>
      <c r="C11" s="18">
        <f t="shared" ca="1" si="17"/>
        <v>0</v>
      </c>
      <c r="D11" s="18" t="str">
        <f t="shared" ca="1" si="18"/>
        <v>Start of Season</v>
      </c>
      <c r="E11" s="18" t="str">
        <f t="shared" ca="1" si="19"/>
        <v>DRK</v>
      </c>
      <c r="F11" s="19">
        <f t="shared" ca="1" si="20"/>
        <v>70</v>
      </c>
      <c r="G11" s="20" t="str">
        <f ca="1">IF($C$1="ALL",IF(INDIRECT(AH11)="","",IF(INDIRECT(AG11)&gt;MAX(Budget!$B$3,Budget!$E$3),"","Y")),IF(ISERR(FIND($C$1,INDIRECT(AH11))),"",IF(INDIRECT(AG11)&gt;MAX(Budget!$B$3,Budget!$E$3),"","Y")))</f>
        <v/>
      </c>
      <c r="H11" s="20">
        <f t="shared" si="21"/>
        <v>11</v>
      </c>
      <c r="I11" s="20">
        <f t="shared" ca="1" si="22"/>
        <v>15</v>
      </c>
      <c r="J11" s="20">
        <f t="shared" ca="1" si="23"/>
        <v>15</v>
      </c>
      <c r="K11" s="20" t="str">
        <f ca="1">CONCATENATE("G",J10+1,":I",'ALL JOBS'!$K$9)</f>
        <v>G15:I56</v>
      </c>
      <c r="L11" s="20" t="str">
        <f t="shared" ca="1" si="14"/>
        <v>'ALL JOBS'!A21</v>
      </c>
      <c r="M11" s="20" t="str">
        <f t="shared" ca="1" si="3"/>
        <v>'ALL JOBS'!B21</v>
      </c>
      <c r="N11" s="20" t="str">
        <f t="shared" ca="1" si="4"/>
        <v>'ALL JOBS'!D21</v>
      </c>
      <c r="O11" s="20" t="str">
        <f t="shared" ca="1" si="5"/>
        <v>'ALL JOBS'!E21</v>
      </c>
      <c r="P11" s="20" t="str">
        <f t="shared" ca="1" si="6"/>
        <v>'ALL JOBS'!F21</v>
      </c>
      <c r="Q11" s="20" t="str">
        <f t="shared" ca="1" si="7"/>
        <v>'ALL JOBS'!G21</v>
      </c>
      <c r="R11" s="20" t="str">
        <f t="shared" ca="1" si="8"/>
        <v>'ALL JOBS'!D21</v>
      </c>
      <c r="S11" s="18" t="str">
        <f t="shared" ca="1" si="24"/>
        <v>Y</v>
      </c>
      <c r="T11" s="21" t="str">
        <f>IF($C$1="ALL",IF('ALL JOBS'!F17="","",IF('ALL JOBS'!D17&lt;=Budget!$B$3,"","Y")),IF(ISERR(FIND($C$1,'ALL JOBS'!F17)),IF($E$1="","",IF(ISERR(FIND($E$1,'ALL JOBS'!F17)),"",IF('ALL JOBS'!D17&lt;=Budget!$B$3,"","Y"))),IF('ALL JOBS'!D17&lt;=Budget!$B$3,"","Y")))</f>
        <v/>
      </c>
      <c r="U11" s="20">
        <f t="shared" si="25"/>
        <v>11</v>
      </c>
      <c r="V11" s="20">
        <f t="shared" ca="1" si="26"/>
        <v>2</v>
      </c>
      <c r="W11" s="20" t="str">
        <f t="shared" ca="1" si="27"/>
        <v>T3:U72</v>
      </c>
      <c r="X11" s="20" t="str">
        <f t="shared" ca="1" si="15"/>
        <v>'ALL JOBS'!A8</v>
      </c>
      <c r="Y11" s="20" t="str">
        <f t="shared" ca="1" si="9"/>
        <v>'ALL JOBS'!B8</v>
      </c>
      <c r="Z11" s="20" t="str">
        <f t="shared" ca="1" si="10"/>
        <v>'ALL JOBS'!D8</v>
      </c>
      <c r="AA11" s="20" t="str">
        <f t="shared" ca="1" si="11"/>
        <v>'ALL JOBS'!E8</v>
      </c>
      <c r="AB11" s="20" t="str">
        <f t="shared" ca="1" si="16"/>
        <v>'ALL JOBS'!F8</v>
      </c>
      <c r="AC11" s="20" t="str">
        <f t="shared" ca="1" si="12"/>
        <v>'ALL JOBS'!G8</v>
      </c>
      <c r="AD11" s="20" t="str">
        <f t="shared" ca="1" si="13"/>
        <v>'ALL JOBS'!D21</v>
      </c>
      <c r="AE11" s="20" t="str">
        <f t="shared" ca="1" si="28"/>
        <v/>
      </c>
      <c r="AF11" s="20">
        <f t="shared" ca="1" si="29"/>
        <v>8</v>
      </c>
      <c r="AG11" s="20" t="str">
        <f t="shared" si="30"/>
        <v>'ALL JOBS'!D17</v>
      </c>
      <c r="AH11" s="20" t="str">
        <f t="shared" si="31"/>
        <v>'ALL JOBS'!F17</v>
      </c>
      <c r="AJ11" s="20" t="b">
        <f ca="1">(OR(INDIRECT(L11)=MAX('ALL JOBS'!A:A),AJ10))</f>
        <v>0</v>
      </c>
    </row>
    <row r="12" spans="1:37" ht="30" customHeight="1">
      <c r="A12" s="20">
        <f t="shared" ca="1" si="0"/>
        <v>11</v>
      </c>
      <c r="B12" s="17" t="str">
        <f t="shared" ca="1" si="1"/>
        <v>Winterisation- Partial (November) Full (December)</v>
      </c>
      <c r="C12" s="18">
        <f t="shared" ca="1" si="17"/>
        <v>0</v>
      </c>
      <c r="D12" s="18" t="str">
        <f t="shared" ca="1" si="18"/>
        <v>November</v>
      </c>
      <c r="E12" s="18" t="str">
        <f t="shared" ca="1" si="19"/>
        <v>DRK</v>
      </c>
      <c r="F12" s="19">
        <f t="shared" ca="1" si="20"/>
        <v>0</v>
      </c>
      <c r="G12" s="20" t="str">
        <f ca="1">IF($C$1="ALL",IF(INDIRECT(AH12)="","",IF(INDIRECT(AG12)&gt;MAX(Budget!$B$3,Budget!$E$3),"","Y")),IF(ISERR(FIND($C$1,INDIRECT(AH12))),"",IF(INDIRECT(AG12)&gt;MAX(Budget!$B$3,Budget!$E$3),"","Y")))</f>
        <v>Y</v>
      </c>
      <c r="H12" s="20">
        <f t="shared" si="21"/>
        <v>12</v>
      </c>
      <c r="I12" s="20">
        <f t="shared" ca="1" si="22"/>
        <v>16</v>
      </c>
      <c r="J12" s="20">
        <f t="shared" ca="1" si="23"/>
        <v>16</v>
      </c>
      <c r="K12" s="20" t="str">
        <f ca="1">CONCATENATE("G",J11+1,":I",'ALL JOBS'!$K$9)</f>
        <v>G16:I56</v>
      </c>
      <c r="L12" s="20" t="str">
        <f t="shared" ca="1" si="14"/>
        <v>'ALL JOBS'!A22</v>
      </c>
      <c r="M12" s="20" t="str">
        <f t="shared" ca="1" si="3"/>
        <v>'ALL JOBS'!B22</v>
      </c>
      <c r="N12" s="20" t="str">
        <f t="shared" ca="1" si="4"/>
        <v>'ALL JOBS'!D22</v>
      </c>
      <c r="O12" s="20" t="str">
        <f t="shared" ca="1" si="5"/>
        <v>'ALL JOBS'!E22</v>
      </c>
      <c r="P12" s="20" t="str">
        <f t="shared" ca="1" si="6"/>
        <v>'ALL JOBS'!F22</v>
      </c>
      <c r="Q12" s="20" t="str">
        <f t="shared" ca="1" si="7"/>
        <v>'ALL JOBS'!G22</v>
      </c>
      <c r="R12" s="20" t="str">
        <f t="shared" ca="1" si="8"/>
        <v>'ALL JOBS'!D22</v>
      </c>
      <c r="S12" s="18" t="str">
        <f t="shared" ca="1" si="24"/>
        <v>Y</v>
      </c>
      <c r="T12" s="21" t="str">
        <f>IF($C$1="ALL",IF('ALL JOBS'!F18="","",IF('ALL JOBS'!D18&lt;=Budget!$B$3,"","Y")),IF(ISERR(FIND($C$1,'ALL JOBS'!F18)),IF($E$1="","",IF(ISERR(FIND($E$1,'ALL JOBS'!F18)),"",IF('ALL JOBS'!D18&lt;=Budget!$B$3,"","Y"))),IF('ALL JOBS'!D18&lt;=Budget!$B$3,"","Y")))</f>
        <v/>
      </c>
      <c r="U12" s="20">
        <f t="shared" si="25"/>
        <v>12</v>
      </c>
      <c r="V12" s="20">
        <f t="shared" ca="1" si="26"/>
        <v>2</v>
      </c>
      <c r="W12" s="20" t="str">
        <f t="shared" ca="1" si="27"/>
        <v>T3:U72</v>
      </c>
      <c r="X12" s="20" t="str">
        <f t="shared" ca="1" si="15"/>
        <v>'ALL JOBS'!A8</v>
      </c>
      <c r="Y12" s="20" t="str">
        <f t="shared" ca="1" si="9"/>
        <v>'ALL JOBS'!B8</v>
      </c>
      <c r="Z12" s="20" t="str">
        <f t="shared" ca="1" si="10"/>
        <v>'ALL JOBS'!D8</v>
      </c>
      <c r="AA12" s="20" t="str">
        <f t="shared" ca="1" si="11"/>
        <v>'ALL JOBS'!E8</v>
      </c>
      <c r="AB12" s="20" t="str">
        <f t="shared" ca="1" si="16"/>
        <v>'ALL JOBS'!F8</v>
      </c>
      <c r="AC12" s="20" t="str">
        <f t="shared" ca="1" si="12"/>
        <v>'ALL JOBS'!G8</v>
      </c>
      <c r="AD12" s="20" t="str">
        <f t="shared" ca="1" si="13"/>
        <v>'ALL JOBS'!D22</v>
      </c>
      <c r="AE12" s="20" t="str">
        <f t="shared" ca="1" si="28"/>
        <v/>
      </c>
      <c r="AF12" s="20">
        <f t="shared" ca="1" si="29"/>
        <v>9</v>
      </c>
      <c r="AG12" s="20" t="str">
        <f t="shared" si="30"/>
        <v>'ALL JOBS'!D18</v>
      </c>
      <c r="AH12" s="20" t="str">
        <f t="shared" si="31"/>
        <v>'ALL JOBS'!F18</v>
      </c>
      <c r="AJ12" s="20" t="b">
        <f ca="1">(OR(INDIRECT(L12)=MAX('ALL JOBS'!A:A),AJ11))</f>
        <v>0</v>
      </c>
    </row>
    <row r="13" spans="1:37" ht="30" customHeight="1">
      <c r="A13" s="20">
        <f t="shared" ca="1" si="0"/>
        <v>12</v>
      </c>
      <c r="B13" s="17" t="str">
        <f t="shared" ca="1" si="1"/>
        <v>Restock &amp; update handover sheet &amp; email to members</v>
      </c>
      <c r="C13" s="18">
        <f t="shared" ca="1" si="17"/>
        <v>0</v>
      </c>
      <c r="D13" s="18" t="str">
        <f t="shared" ca="1" si="18"/>
        <v>Start of Season</v>
      </c>
      <c r="E13" s="18" t="str">
        <f t="shared" ca="1" si="19"/>
        <v>DRK</v>
      </c>
      <c r="F13" s="19">
        <f t="shared" ca="1" si="20"/>
        <v>0</v>
      </c>
      <c r="G13" s="20" t="str">
        <f ca="1">IF($C$1="ALL",IF(INDIRECT(AH13)="","",IF(INDIRECT(AG13)&gt;MAX(Budget!$B$3,Budget!$E$3),"","Y")),IF(ISERR(FIND($C$1,INDIRECT(AH13))),"",IF(INDIRECT(AG13)&gt;MAX(Budget!$B$3,Budget!$E$3),"","Y")))</f>
        <v>Y</v>
      </c>
      <c r="H13" s="20">
        <f t="shared" si="21"/>
        <v>13</v>
      </c>
      <c r="I13" s="20">
        <f t="shared" ca="1" si="22"/>
        <v>17</v>
      </c>
      <c r="J13" s="20">
        <f t="shared" ca="1" si="23"/>
        <v>17</v>
      </c>
      <c r="K13" s="20" t="str">
        <f ca="1">CONCATENATE("G",J12+1,":I",'ALL JOBS'!$K$9)</f>
        <v>G17:I56</v>
      </c>
      <c r="L13" s="20" t="str">
        <f t="shared" ca="1" si="14"/>
        <v>'ALL JOBS'!A23</v>
      </c>
      <c r="M13" s="20" t="str">
        <f t="shared" ca="1" si="3"/>
        <v>'ALL JOBS'!B23</v>
      </c>
      <c r="N13" s="20" t="str">
        <f t="shared" ca="1" si="4"/>
        <v>'ALL JOBS'!D23</v>
      </c>
      <c r="O13" s="20" t="str">
        <f t="shared" ca="1" si="5"/>
        <v>'ALL JOBS'!E23</v>
      </c>
      <c r="P13" s="20" t="str">
        <f t="shared" ca="1" si="6"/>
        <v>'ALL JOBS'!F23</v>
      </c>
      <c r="Q13" s="20" t="str">
        <f t="shared" ca="1" si="7"/>
        <v>'ALL JOBS'!G23</v>
      </c>
      <c r="R13" s="20" t="str">
        <f t="shared" ca="1" si="8"/>
        <v>'ALL JOBS'!D23</v>
      </c>
      <c r="S13" s="18" t="str">
        <f t="shared" ca="1" si="24"/>
        <v>Y</v>
      </c>
      <c r="T13" s="21" t="str">
        <f>IF($C$1="ALL",IF('ALL JOBS'!F19="","",IF('ALL JOBS'!D19&lt;=Budget!$B$3,"","Y")),IF(ISERR(FIND($C$1,'ALL JOBS'!F19)),IF($E$1="","",IF(ISERR(FIND($E$1,'ALL JOBS'!F19)),"",IF('ALL JOBS'!D19&lt;=Budget!$B$3,"","Y"))),IF('ALL JOBS'!D19&lt;=Budget!$B$3,"","Y")))</f>
        <v/>
      </c>
      <c r="U13" s="20">
        <f t="shared" si="25"/>
        <v>13</v>
      </c>
      <c r="V13" s="20">
        <f t="shared" ca="1" si="26"/>
        <v>2</v>
      </c>
      <c r="W13" s="20" t="str">
        <f t="shared" ca="1" si="27"/>
        <v>T3:U72</v>
      </c>
      <c r="X13" s="20" t="str">
        <f t="shared" ca="1" si="15"/>
        <v>'ALL JOBS'!A8</v>
      </c>
      <c r="Y13" s="20" t="str">
        <f t="shared" ca="1" si="9"/>
        <v>'ALL JOBS'!B8</v>
      </c>
      <c r="Z13" s="20" t="str">
        <f t="shared" ca="1" si="10"/>
        <v>'ALL JOBS'!D8</v>
      </c>
      <c r="AA13" s="20" t="str">
        <f t="shared" ca="1" si="11"/>
        <v>'ALL JOBS'!E8</v>
      </c>
      <c r="AB13" s="20" t="str">
        <f t="shared" ca="1" si="16"/>
        <v>'ALL JOBS'!F8</v>
      </c>
      <c r="AC13" s="20" t="str">
        <f t="shared" ca="1" si="12"/>
        <v>'ALL JOBS'!G8</v>
      </c>
      <c r="AD13" s="20" t="str">
        <f t="shared" ca="1" si="13"/>
        <v>'ALL JOBS'!D23</v>
      </c>
      <c r="AE13" s="20" t="str">
        <f t="shared" ca="1" si="28"/>
        <v/>
      </c>
      <c r="AF13" s="20">
        <f t="shared" ca="1" si="29"/>
        <v>10</v>
      </c>
      <c r="AG13" s="20" t="str">
        <f t="shared" si="30"/>
        <v>'ALL JOBS'!D19</v>
      </c>
      <c r="AH13" s="20" t="str">
        <f t="shared" si="31"/>
        <v>'ALL JOBS'!F19</v>
      </c>
      <c r="AJ13" s="20" t="b">
        <f ca="1">(OR(INDIRECT(L13)=MAX('ALL JOBS'!A:A),AJ12))</f>
        <v>0</v>
      </c>
    </row>
    <row r="14" spans="1:37" ht="30" customHeight="1">
      <c r="A14" s="20">
        <f t="shared" ca="1" si="0"/>
        <v>13</v>
      </c>
      <c r="B14" s="17" t="str">
        <f t="shared" ca="1" si="1"/>
        <v>Restock Blue for loos (charge to "Pump-out")</v>
      </c>
      <c r="C14" s="18">
        <f t="shared" ca="1" si="17"/>
        <v>0</v>
      </c>
      <c r="D14" s="18" t="str">
        <f t="shared" ca="1" si="18"/>
        <v>Start of Season</v>
      </c>
      <c r="E14" s="18" t="str">
        <f t="shared" ca="1" si="19"/>
        <v>All</v>
      </c>
      <c r="F14" s="19">
        <f t="shared" ca="1" si="20"/>
        <v>0</v>
      </c>
      <c r="G14" s="20" t="str">
        <f ca="1">IF($C$1="ALL",IF(INDIRECT(AH14)="","",IF(INDIRECT(AG14)&gt;MAX(Budget!$B$3,Budget!$E$3),"","Y")),IF(ISERR(FIND($C$1,INDIRECT(AH14))),"",IF(INDIRECT(AG14)&gt;MAX(Budget!$B$3,Budget!$E$3),"","Y")))</f>
        <v>Y</v>
      </c>
      <c r="H14" s="20">
        <f t="shared" si="21"/>
        <v>14</v>
      </c>
      <c r="I14" s="20">
        <f t="shared" ca="1" si="22"/>
        <v>18</v>
      </c>
      <c r="J14" s="20">
        <f t="shared" ca="1" si="23"/>
        <v>18</v>
      </c>
      <c r="K14" s="20" t="str">
        <f ca="1">CONCATENATE("G",J13+1,":I",'ALL JOBS'!$K$9)</f>
        <v>G18:I56</v>
      </c>
      <c r="L14" s="20" t="str">
        <f t="shared" ca="1" si="14"/>
        <v>'ALL JOBS'!A24</v>
      </c>
      <c r="M14" s="20" t="str">
        <f t="shared" ca="1" si="3"/>
        <v>'ALL JOBS'!B24</v>
      </c>
      <c r="N14" s="20" t="str">
        <f t="shared" ca="1" si="4"/>
        <v>'ALL JOBS'!D24</v>
      </c>
      <c r="O14" s="20" t="str">
        <f t="shared" ca="1" si="5"/>
        <v>'ALL JOBS'!E24</v>
      </c>
      <c r="P14" s="20" t="str">
        <f t="shared" ca="1" si="6"/>
        <v>'ALL JOBS'!F24</v>
      </c>
      <c r="Q14" s="20" t="str">
        <f t="shared" ca="1" si="7"/>
        <v>'ALL JOBS'!G24</v>
      </c>
      <c r="R14" s="20" t="str">
        <f t="shared" ca="1" si="8"/>
        <v>'ALL JOBS'!D24</v>
      </c>
      <c r="S14" s="18" t="str">
        <f t="shared" ca="1" si="24"/>
        <v>Y</v>
      </c>
      <c r="T14" s="21" t="str">
        <f>IF($C$1="ALL",IF('ALL JOBS'!F20="","",IF('ALL JOBS'!D20&lt;=Budget!$B$3,"","Y")),IF(ISERR(FIND($C$1,'ALL JOBS'!F20)),IF($E$1="","",IF(ISERR(FIND($E$1,'ALL JOBS'!F20)),"",IF('ALL JOBS'!D20&lt;=Budget!$B$3,"","Y"))),IF('ALL JOBS'!D20&lt;=Budget!$B$3,"","Y")))</f>
        <v/>
      </c>
      <c r="U14" s="20">
        <f t="shared" si="25"/>
        <v>14</v>
      </c>
      <c r="V14" s="20">
        <f t="shared" ca="1" si="26"/>
        <v>2</v>
      </c>
      <c r="W14" s="20" t="str">
        <f t="shared" ca="1" si="27"/>
        <v>T3:U72</v>
      </c>
      <c r="X14" s="20" t="str">
        <f t="shared" ca="1" si="15"/>
        <v>'ALL JOBS'!A8</v>
      </c>
      <c r="Y14" s="20" t="str">
        <f t="shared" ca="1" si="9"/>
        <v>'ALL JOBS'!B8</v>
      </c>
      <c r="Z14" s="20" t="str">
        <f t="shared" ca="1" si="10"/>
        <v>'ALL JOBS'!D8</v>
      </c>
      <c r="AA14" s="20" t="str">
        <f t="shared" ca="1" si="11"/>
        <v>'ALL JOBS'!E8</v>
      </c>
      <c r="AB14" s="20" t="str">
        <f t="shared" ca="1" si="16"/>
        <v>'ALL JOBS'!F8</v>
      </c>
      <c r="AC14" s="20" t="str">
        <f t="shared" ca="1" si="12"/>
        <v>'ALL JOBS'!G8</v>
      </c>
      <c r="AD14" s="20" t="str">
        <f t="shared" ca="1" si="13"/>
        <v>'ALL JOBS'!D24</v>
      </c>
      <c r="AE14" s="20" t="str">
        <f t="shared" ca="1" si="28"/>
        <v/>
      </c>
      <c r="AF14" s="20">
        <f t="shared" ca="1" si="29"/>
        <v>11</v>
      </c>
      <c r="AG14" s="20" t="str">
        <f t="shared" si="30"/>
        <v>'ALL JOBS'!D20</v>
      </c>
      <c r="AH14" s="20" t="str">
        <f t="shared" si="31"/>
        <v>'ALL JOBS'!F20</v>
      </c>
      <c r="AJ14" s="20" t="b">
        <f ca="1">(OR(INDIRECT(L14)=MAX('ALL JOBS'!A:A),AJ13))</f>
        <v>0</v>
      </c>
    </row>
    <row r="15" spans="1:37" ht="30" customHeight="1">
      <c r="A15" s="20">
        <f t="shared" ca="1" si="0"/>
        <v>14</v>
      </c>
      <c r="B15" s="17" t="str">
        <f t="shared" ca="1" si="1"/>
        <v>Restock CH antifreeze Check water levels (see below)</v>
      </c>
      <c r="C15" s="18">
        <f t="shared" ca="1" si="17"/>
        <v>0</v>
      </c>
      <c r="D15" s="18" t="str">
        <f t="shared" ca="1" si="18"/>
        <v>Start of Season</v>
      </c>
      <c r="E15" s="18" t="str">
        <f t="shared" ca="1" si="19"/>
        <v>DRK</v>
      </c>
      <c r="F15" s="19">
        <f t="shared" ca="1" si="20"/>
        <v>20</v>
      </c>
      <c r="G15" s="20" t="str">
        <f ca="1">IF($C$1="ALL",IF(INDIRECT(AH15)="","",IF(INDIRECT(AG15)&gt;MAX(Budget!$B$3,Budget!$E$3),"","Y")),IF(ISERR(FIND($C$1,INDIRECT(AH15))),"",IF(INDIRECT(AG15)&gt;MAX(Budget!$B$3,Budget!$E$3),"","Y")))</f>
        <v>Y</v>
      </c>
      <c r="H15" s="20">
        <f t="shared" si="21"/>
        <v>15</v>
      </c>
      <c r="I15" s="20">
        <f t="shared" ca="1" si="22"/>
        <v>19</v>
      </c>
      <c r="J15" s="20">
        <f t="shared" ca="1" si="23"/>
        <v>19</v>
      </c>
      <c r="K15" s="20" t="str">
        <f ca="1">CONCATENATE("G",J14+1,":I",'ALL JOBS'!$K$9)</f>
        <v>G19:I56</v>
      </c>
      <c r="L15" s="20" t="str">
        <f t="shared" ca="1" si="14"/>
        <v>'ALL JOBS'!A25</v>
      </c>
      <c r="M15" s="20" t="str">
        <f t="shared" ca="1" si="3"/>
        <v>'ALL JOBS'!B25</v>
      </c>
      <c r="N15" s="20" t="str">
        <f t="shared" ca="1" si="4"/>
        <v>'ALL JOBS'!D25</v>
      </c>
      <c r="O15" s="20" t="str">
        <f t="shared" ca="1" si="5"/>
        <v>'ALL JOBS'!E25</v>
      </c>
      <c r="P15" s="20" t="str">
        <f t="shared" ca="1" si="6"/>
        <v>'ALL JOBS'!F25</v>
      </c>
      <c r="Q15" s="20" t="str">
        <f t="shared" ca="1" si="7"/>
        <v>'ALL JOBS'!G25</v>
      </c>
      <c r="R15" s="20" t="str">
        <f t="shared" ca="1" si="8"/>
        <v>'ALL JOBS'!D25</v>
      </c>
      <c r="S15" s="18" t="str">
        <f t="shared" ca="1" si="24"/>
        <v>Y</v>
      </c>
      <c r="T15" s="21" t="str">
        <f>IF($C$1="ALL",IF('ALL JOBS'!F21="","",IF('ALL JOBS'!D21&lt;=Budget!$B$3,"","Y")),IF(ISERR(FIND($C$1,'ALL JOBS'!F21)),IF($E$1="","",IF(ISERR(FIND($E$1,'ALL JOBS'!F21)),"",IF('ALL JOBS'!D21&lt;=Budget!$B$3,"","Y"))),IF('ALL JOBS'!D21&lt;=Budget!$B$3,"","Y")))</f>
        <v/>
      </c>
      <c r="U15" s="20">
        <f t="shared" si="25"/>
        <v>15</v>
      </c>
      <c r="V15" s="20">
        <f t="shared" ca="1" si="26"/>
        <v>2</v>
      </c>
      <c r="W15" s="20" t="str">
        <f t="shared" ca="1" si="27"/>
        <v>T3:U72</v>
      </c>
      <c r="X15" s="20" t="str">
        <f t="shared" ca="1" si="15"/>
        <v>'ALL JOBS'!A8</v>
      </c>
      <c r="Y15" s="20" t="str">
        <f t="shared" ca="1" si="9"/>
        <v>'ALL JOBS'!B8</v>
      </c>
      <c r="Z15" s="20" t="str">
        <f t="shared" ca="1" si="10"/>
        <v>'ALL JOBS'!D8</v>
      </c>
      <c r="AA15" s="20" t="str">
        <f t="shared" ca="1" si="11"/>
        <v>'ALL JOBS'!E8</v>
      </c>
      <c r="AB15" s="20" t="str">
        <f t="shared" ca="1" si="16"/>
        <v>'ALL JOBS'!F8</v>
      </c>
      <c r="AC15" s="20" t="str">
        <f t="shared" ca="1" si="12"/>
        <v>'ALL JOBS'!G8</v>
      </c>
      <c r="AD15" s="20" t="str">
        <f t="shared" ca="1" si="13"/>
        <v>'ALL JOBS'!D25</v>
      </c>
      <c r="AE15" s="20" t="str">
        <f t="shared" ca="1" si="28"/>
        <v/>
      </c>
      <c r="AF15" s="20">
        <f t="shared" ca="1" si="29"/>
        <v>12</v>
      </c>
      <c r="AG15" s="20" t="str">
        <f t="shared" si="30"/>
        <v>'ALL JOBS'!D21</v>
      </c>
      <c r="AH15" s="20" t="str">
        <f t="shared" si="31"/>
        <v>'ALL JOBS'!F21</v>
      </c>
      <c r="AJ15" s="20" t="b">
        <f ca="1">(OR(INDIRECT(L15)=MAX('ALL JOBS'!A:A),AJ14))</f>
        <v>0</v>
      </c>
    </row>
    <row r="16" spans="1:37" ht="30" customHeight="1">
      <c r="A16" s="20">
        <f t="shared" ca="1" si="0"/>
        <v>15</v>
      </c>
      <c r="B16" s="17" t="str">
        <f t="shared" ca="1" si="1"/>
        <v>Replace pillows  (4/year?)</v>
      </c>
      <c r="C16" s="18">
        <f t="shared" ca="1" si="17"/>
        <v>0</v>
      </c>
      <c r="D16" s="18" t="str">
        <f t="shared" ca="1" si="18"/>
        <v>Start of Season</v>
      </c>
      <c r="E16" s="18" t="str">
        <f t="shared" ca="1" si="19"/>
        <v>HA</v>
      </c>
      <c r="F16" s="19">
        <f t="shared" ca="1" si="20"/>
        <v>40</v>
      </c>
      <c r="G16" s="20" t="str">
        <f ca="1">IF($C$1="ALL",IF(INDIRECT(AH16)="","",IF(INDIRECT(AG16)&gt;MAX(Budget!$B$3,Budget!$E$3),"","Y")),IF(ISERR(FIND($C$1,INDIRECT(AH16))),"",IF(INDIRECT(AG16)&gt;MAX(Budget!$B$3,Budget!$E$3),"","Y")))</f>
        <v>Y</v>
      </c>
      <c r="H16" s="20">
        <f t="shared" si="21"/>
        <v>16</v>
      </c>
      <c r="I16" s="20">
        <f t="shared" ca="1" si="22"/>
        <v>20</v>
      </c>
      <c r="J16" s="20">
        <f t="shared" ca="1" si="23"/>
        <v>20</v>
      </c>
      <c r="K16" s="20" t="str">
        <f ca="1">CONCATENATE("G",J15+1,":I",'ALL JOBS'!$K$9)</f>
        <v>G20:I56</v>
      </c>
      <c r="L16" s="20" t="str">
        <f t="shared" ca="1" si="14"/>
        <v>'ALL JOBS'!A26</v>
      </c>
      <c r="M16" s="20" t="str">
        <f t="shared" ca="1" si="3"/>
        <v>'ALL JOBS'!B26</v>
      </c>
      <c r="N16" s="20" t="str">
        <f t="shared" ca="1" si="4"/>
        <v>'ALL JOBS'!D26</v>
      </c>
      <c r="O16" s="20" t="str">
        <f t="shared" ca="1" si="5"/>
        <v>'ALL JOBS'!E26</v>
      </c>
      <c r="P16" s="20" t="str">
        <f t="shared" ca="1" si="6"/>
        <v>'ALL JOBS'!F26</v>
      </c>
      <c r="Q16" s="20" t="str">
        <f t="shared" ca="1" si="7"/>
        <v>'ALL JOBS'!G26</v>
      </c>
      <c r="R16" s="20" t="str">
        <f t="shared" ca="1" si="8"/>
        <v>'ALL JOBS'!D26</v>
      </c>
      <c r="S16" s="18" t="str">
        <f t="shared" ca="1" si="24"/>
        <v>Y</v>
      </c>
      <c r="T16" s="21" t="str">
        <f>IF($C$1="ALL",IF('ALL JOBS'!F22="","",IF('ALL JOBS'!D22&lt;=Budget!$B$3,"","Y")),IF(ISERR(FIND($C$1,'ALL JOBS'!F22)),IF($E$1="","",IF(ISERR(FIND($E$1,'ALL JOBS'!F22)),"",IF('ALL JOBS'!D22&lt;=Budget!$B$3,"","Y"))),IF('ALL JOBS'!D22&lt;=Budget!$B$3,"","Y")))</f>
        <v/>
      </c>
      <c r="U16" s="20">
        <f t="shared" si="25"/>
        <v>16</v>
      </c>
      <c r="V16" s="20">
        <f t="shared" ca="1" si="26"/>
        <v>2</v>
      </c>
      <c r="W16" s="20" t="str">
        <f t="shared" ca="1" si="27"/>
        <v>T3:U72</v>
      </c>
      <c r="X16" s="20" t="str">
        <f t="shared" ca="1" si="15"/>
        <v>'ALL JOBS'!A8</v>
      </c>
      <c r="Y16" s="20" t="str">
        <f t="shared" ca="1" si="9"/>
        <v>'ALL JOBS'!B8</v>
      </c>
      <c r="Z16" s="20" t="str">
        <f t="shared" ca="1" si="10"/>
        <v>'ALL JOBS'!D8</v>
      </c>
      <c r="AA16" s="20" t="str">
        <f t="shared" ca="1" si="11"/>
        <v>'ALL JOBS'!E8</v>
      </c>
      <c r="AB16" s="20" t="str">
        <f t="shared" ca="1" si="16"/>
        <v>'ALL JOBS'!F8</v>
      </c>
      <c r="AC16" s="20" t="str">
        <f t="shared" ca="1" si="12"/>
        <v>'ALL JOBS'!G8</v>
      </c>
      <c r="AD16" s="20" t="str">
        <f t="shared" ca="1" si="13"/>
        <v>'ALL JOBS'!D26</v>
      </c>
      <c r="AE16" s="20" t="str">
        <f t="shared" ca="1" si="28"/>
        <v/>
      </c>
      <c r="AF16" s="20">
        <f t="shared" ca="1" si="29"/>
        <v>13</v>
      </c>
      <c r="AG16" s="20" t="str">
        <f t="shared" si="30"/>
        <v>'ALL JOBS'!D22</v>
      </c>
      <c r="AH16" s="20" t="str">
        <f t="shared" si="31"/>
        <v>'ALL JOBS'!F22</v>
      </c>
      <c r="AJ16" s="20" t="b">
        <f ca="1">(OR(INDIRECT(L16)=MAX('ALL JOBS'!A:A),AJ15))</f>
        <v>0</v>
      </c>
    </row>
    <row r="17" spans="1:36" ht="30" customHeight="1">
      <c r="A17" s="20">
        <f t="shared" ca="1" si="0"/>
        <v>16</v>
      </c>
      <c r="B17" s="17" t="str">
        <f t="shared" ca="1" si="1"/>
        <v>Re-stock first aid kit as needed</v>
      </c>
      <c r="C17" s="18">
        <f t="shared" ca="1" si="17"/>
        <v>0</v>
      </c>
      <c r="D17" s="18" t="str">
        <f t="shared" ca="1" si="18"/>
        <v>Start of Season</v>
      </c>
      <c r="E17" s="18" t="str">
        <f t="shared" ca="1" si="19"/>
        <v>HA</v>
      </c>
      <c r="F17" s="19">
        <f t="shared" ca="1" si="20"/>
        <v>15</v>
      </c>
      <c r="G17" s="20" t="str">
        <f ca="1">IF($C$1="ALL",IF(INDIRECT(AH17)="","",IF(INDIRECT(AG17)&gt;MAX(Budget!$B$3,Budget!$E$3),"","Y")),IF(ISERR(FIND($C$1,INDIRECT(AH17))),"",IF(INDIRECT(AG17)&gt;MAX(Budget!$B$3,Budget!$E$3),"","Y")))</f>
        <v>Y</v>
      </c>
      <c r="H17" s="20">
        <f t="shared" si="21"/>
        <v>17</v>
      </c>
      <c r="I17" s="20">
        <f t="shared" ca="1" si="22"/>
        <v>21</v>
      </c>
      <c r="J17" s="20">
        <f t="shared" ca="1" si="23"/>
        <v>21</v>
      </c>
      <c r="K17" s="20" t="str">
        <f ca="1">CONCATENATE("G",J16+1,":I",'ALL JOBS'!$K$9)</f>
        <v>G21:I56</v>
      </c>
      <c r="L17" s="20" t="str">
        <f t="shared" ca="1" si="14"/>
        <v>'ALL JOBS'!A27</v>
      </c>
      <c r="M17" s="20" t="str">
        <f t="shared" ca="1" si="3"/>
        <v>'ALL JOBS'!B27</v>
      </c>
      <c r="N17" s="20" t="str">
        <f t="shared" ca="1" si="4"/>
        <v>'ALL JOBS'!D27</v>
      </c>
      <c r="O17" s="20" t="str">
        <f t="shared" ca="1" si="5"/>
        <v>'ALL JOBS'!E27</v>
      </c>
      <c r="P17" s="20" t="str">
        <f t="shared" ca="1" si="6"/>
        <v>'ALL JOBS'!F27</v>
      </c>
      <c r="Q17" s="20" t="str">
        <f t="shared" ca="1" si="7"/>
        <v>'ALL JOBS'!G27</v>
      </c>
      <c r="R17" s="20" t="str">
        <f t="shared" ca="1" si="8"/>
        <v>'ALL JOBS'!D27</v>
      </c>
      <c r="S17" s="18" t="str">
        <f t="shared" ca="1" si="24"/>
        <v>Y</v>
      </c>
      <c r="T17" s="21" t="str">
        <f>IF($C$1="ALL",IF('ALL JOBS'!F23="","",IF('ALL JOBS'!D23&lt;=Budget!$B$3,"","Y")),IF(ISERR(FIND($C$1,'ALL JOBS'!F23)),IF($E$1="","",IF(ISERR(FIND($E$1,'ALL JOBS'!F23)),"",IF('ALL JOBS'!D23&lt;=Budget!$B$3,"","Y"))),IF('ALL JOBS'!D23&lt;=Budget!$B$3,"","Y")))</f>
        <v/>
      </c>
      <c r="U17" s="20">
        <f t="shared" si="25"/>
        <v>17</v>
      </c>
      <c r="V17" s="20">
        <f t="shared" ca="1" si="26"/>
        <v>2</v>
      </c>
      <c r="W17" s="20" t="str">
        <f t="shared" ca="1" si="27"/>
        <v>T3:U72</v>
      </c>
      <c r="X17" s="20" t="str">
        <f t="shared" ca="1" si="15"/>
        <v>'ALL JOBS'!A8</v>
      </c>
      <c r="Y17" s="20" t="str">
        <f t="shared" ca="1" si="9"/>
        <v>'ALL JOBS'!B8</v>
      </c>
      <c r="Z17" s="20" t="str">
        <f t="shared" ca="1" si="10"/>
        <v>'ALL JOBS'!D8</v>
      </c>
      <c r="AA17" s="20" t="str">
        <f t="shared" ca="1" si="11"/>
        <v>'ALL JOBS'!E8</v>
      </c>
      <c r="AB17" s="20" t="str">
        <f t="shared" ca="1" si="16"/>
        <v>'ALL JOBS'!F8</v>
      </c>
      <c r="AC17" s="20" t="str">
        <f t="shared" ca="1" si="12"/>
        <v>'ALL JOBS'!G8</v>
      </c>
      <c r="AD17" s="20" t="str">
        <f t="shared" ca="1" si="13"/>
        <v>'ALL JOBS'!D27</v>
      </c>
      <c r="AE17" s="20" t="str">
        <f t="shared" ca="1" si="28"/>
        <v/>
      </c>
      <c r="AF17" s="20">
        <f t="shared" ca="1" si="29"/>
        <v>14</v>
      </c>
      <c r="AG17" s="20" t="str">
        <f t="shared" si="30"/>
        <v>'ALL JOBS'!D23</v>
      </c>
      <c r="AH17" s="20" t="str">
        <f t="shared" si="31"/>
        <v>'ALL JOBS'!F23</v>
      </c>
      <c r="AJ17" s="20" t="b">
        <f ca="1">(OR(INDIRECT(L17)=MAX('ALL JOBS'!A:A),AJ16))</f>
        <v>0</v>
      </c>
    </row>
    <row r="18" spans="1:36" ht="30" customHeight="1">
      <c r="A18" s="20">
        <f t="shared" ca="1" si="0"/>
        <v>17</v>
      </c>
      <c r="B18" s="17" t="str">
        <f t="shared" ca="1" si="1"/>
        <v>Clean boat for start of season</v>
      </c>
      <c r="C18" s="18">
        <f t="shared" ca="1" si="17"/>
        <v>0</v>
      </c>
      <c r="D18" s="18" t="str">
        <f t="shared" ca="1" si="18"/>
        <v>Start of Season</v>
      </c>
      <c r="E18" s="18" t="str">
        <f t="shared" ca="1" si="19"/>
        <v>JF/PB/SB</v>
      </c>
      <c r="F18" s="19">
        <f t="shared" ca="1" si="20"/>
        <v>20</v>
      </c>
      <c r="G18" s="20" t="str">
        <f ca="1">IF($C$1="ALL",IF(INDIRECT(AH18)="","",IF(INDIRECT(AG18)&gt;MAX(Budget!$B$3,Budget!$E$3),"","Y")),IF(ISERR(FIND($C$1,INDIRECT(AH18))),"",IF(INDIRECT(AG18)&gt;MAX(Budget!$B$3,Budget!$E$3),"","Y")))</f>
        <v>Y</v>
      </c>
      <c r="H18" s="20">
        <f t="shared" si="21"/>
        <v>18</v>
      </c>
      <c r="I18" s="20">
        <f t="shared" ca="1" si="22"/>
        <v>22</v>
      </c>
      <c r="J18" s="20">
        <f t="shared" ca="1" si="23"/>
        <v>22</v>
      </c>
      <c r="K18" s="20" t="str">
        <f ca="1">CONCATENATE("G",J17+1,":I",'ALL JOBS'!$K$9)</f>
        <v>G22:I56</v>
      </c>
      <c r="L18" s="20" t="str">
        <f t="shared" ca="1" si="14"/>
        <v>'ALL JOBS'!A28</v>
      </c>
      <c r="M18" s="20" t="str">
        <f t="shared" ca="1" si="3"/>
        <v>'ALL JOBS'!B28</v>
      </c>
      <c r="N18" s="20" t="str">
        <f t="shared" ca="1" si="4"/>
        <v>'ALL JOBS'!D28</v>
      </c>
      <c r="O18" s="20" t="str">
        <f t="shared" ca="1" si="5"/>
        <v>'ALL JOBS'!E28</v>
      </c>
      <c r="P18" s="20" t="str">
        <f t="shared" ca="1" si="6"/>
        <v>'ALL JOBS'!F28</v>
      </c>
      <c r="Q18" s="20" t="str">
        <f t="shared" ca="1" si="7"/>
        <v>'ALL JOBS'!G28</v>
      </c>
      <c r="R18" s="20" t="str">
        <f t="shared" ca="1" si="8"/>
        <v>'ALL JOBS'!D28</v>
      </c>
      <c r="S18" s="18" t="str">
        <f t="shared" ca="1" si="24"/>
        <v>Y</v>
      </c>
      <c r="T18" s="21" t="str">
        <f>IF($C$1="ALL",IF('ALL JOBS'!F24="","",IF('ALL JOBS'!D24&lt;=Budget!$B$3,"","Y")),IF(ISERR(FIND($C$1,'ALL JOBS'!F24)),IF($E$1="","",IF(ISERR(FIND($E$1,'ALL JOBS'!F24)),"",IF('ALL JOBS'!D24&lt;=Budget!$B$3,"","Y"))),IF('ALL JOBS'!D24&lt;=Budget!$B$3,"","Y")))</f>
        <v/>
      </c>
      <c r="U18" s="20">
        <f t="shared" si="25"/>
        <v>18</v>
      </c>
      <c r="V18" s="20">
        <f t="shared" ca="1" si="26"/>
        <v>2</v>
      </c>
      <c r="W18" s="20" t="str">
        <f t="shared" ca="1" si="27"/>
        <v>T3:U72</v>
      </c>
      <c r="X18" s="20" t="str">
        <f t="shared" ca="1" si="15"/>
        <v>'ALL JOBS'!A8</v>
      </c>
      <c r="Y18" s="20" t="str">
        <f t="shared" ca="1" si="9"/>
        <v>'ALL JOBS'!B8</v>
      </c>
      <c r="Z18" s="20" t="str">
        <f t="shared" ca="1" si="10"/>
        <v>'ALL JOBS'!D8</v>
      </c>
      <c r="AA18" s="20" t="str">
        <f t="shared" ca="1" si="11"/>
        <v>'ALL JOBS'!E8</v>
      </c>
      <c r="AB18" s="20" t="str">
        <f t="shared" ca="1" si="16"/>
        <v>'ALL JOBS'!F8</v>
      </c>
      <c r="AC18" s="20" t="str">
        <f t="shared" ca="1" si="12"/>
        <v>'ALL JOBS'!G8</v>
      </c>
      <c r="AD18" s="20" t="str">
        <f t="shared" ca="1" si="13"/>
        <v>'ALL JOBS'!D28</v>
      </c>
      <c r="AE18" s="20" t="str">
        <f t="shared" ca="1" si="28"/>
        <v/>
      </c>
      <c r="AF18" s="20">
        <f t="shared" ca="1" si="29"/>
        <v>15</v>
      </c>
      <c r="AG18" s="20" t="str">
        <f t="shared" si="30"/>
        <v>'ALL JOBS'!D24</v>
      </c>
      <c r="AH18" s="20" t="str">
        <f t="shared" si="31"/>
        <v>'ALL JOBS'!F24</v>
      </c>
      <c r="AJ18" s="20" t="b">
        <f ca="1">(OR(INDIRECT(L18)=MAX('ALL JOBS'!A:A),AJ17))</f>
        <v>0</v>
      </c>
    </row>
    <row r="19" spans="1:36" ht="30" customHeight="1">
      <c r="A19" s="20">
        <f t="shared" ca="1" si="0"/>
        <v>18</v>
      </c>
      <c r="B19" s="17" t="str">
        <f t="shared" ca="1" si="1"/>
        <v>Remove all surplus materials and food etc</v>
      </c>
      <c r="C19" s="18">
        <f t="shared" ca="1" si="17"/>
        <v>0</v>
      </c>
      <c r="D19" s="18" t="str">
        <f t="shared" ca="1" si="18"/>
        <v>Start of Season</v>
      </c>
      <c r="E19" s="18" t="str">
        <f t="shared" ca="1" si="19"/>
        <v>JF/PB/SB</v>
      </c>
      <c r="F19" s="19">
        <f t="shared" ca="1" si="20"/>
        <v>0</v>
      </c>
      <c r="G19" s="20" t="str">
        <f ca="1">IF($C$1="ALL",IF(INDIRECT(AH19)="","",IF(INDIRECT(AG19)&gt;MAX(Budget!$B$3,Budget!$E$3),"","Y")),IF(ISERR(FIND($C$1,INDIRECT(AH19))),"",IF(INDIRECT(AG19)&gt;MAX(Budget!$B$3,Budget!$E$3),"","Y")))</f>
        <v>Y</v>
      </c>
      <c r="H19" s="20">
        <f t="shared" si="21"/>
        <v>19</v>
      </c>
      <c r="I19" s="20">
        <f t="shared" ca="1" si="22"/>
        <v>23</v>
      </c>
      <c r="J19" s="20">
        <f t="shared" ca="1" si="23"/>
        <v>23</v>
      </c>
      <c r="K19" s="20" t="str">
        <f ca="1">CONCATENATE("G",J18+1,":I",'ALL JOBS'!$K$9)</f>
        <v>G23:I56</v>
      </c>
      <c r="L19" s="20" t="str">
        <f t="shared" ca="1" si="14"/>
        <v>'ALL JOBS'!A29</v>
      </c>
      <c r="M19" s="20" t="str">
        <f t="shared" ca="1" si="3"/>
        <v>'ALL JOBS'!B29</v>
      </c>
      <c r="N19" s="20" t="str">
        <f t="shared" ca="1" si="4"/>
        <v>'ALL JOBS'!D29</v>
      </c>
      <c r="O19" s="20" t="str">
        <f t="shared" ca="1" si="5"/>
        <v>'ALL JOBS'!E29</v>
      </c>
      <c r="P19" s="20" t="str">
        <f t="shared" ca="1" si="6"/>
        <v>'ALL JOBS'!F29</v>
      </c>
      <c r="Q19" s="20" t="str">
        <f t="shared" ca="1" si="7"/>
        <v>'ALL JOBS'!G29</v>
      </c>
      <c r="R19" s="20" t="str">
        <f t="shared" ca="1" si="8"/>
        <v>'ALL JOBS'!D29</v>
      </c>
      <c r="S19" s="18" t="str">
        <f t="shared" ca="1" si="24"/>
        <v>Y</v>
      </c>
      <c r="T19" s="21" t="str">
        <f>IF($C$1="ALL",IF('ALL JOBS'!F25="","",IF('ALL JOBS'!D25&lt;=Budget!$B$3,"","Y")),IF(ISERR(FIND($C$1,'ALL JOBS'!F25)),IF($E$1="","",IF(ISERR(FIND($E$1,'ALL JOBS'!F25)),"",IF('ALL JOBS'!D25&lt;=Budget!$B$3,"","Y"))),IF('ALL JOBS'!D25&lt;=Budget!$B$3,"","Y")))</f>
        <v/>
      </c>
      <c r="U19" s="20">
        <f t="shared" si="25"/>
        <v>19</v>
      </c>
      <c r="V19" s="20">
        <f t="shared" ca="1" si="26"/>
        <v>2</v>
      </c>
      <c r="W19" s="20" t="str">
        <f t="shared" ca="1" si="27"/>
        <v>T3:U72</v>
      </c>
      <c r="X19" s="20" t="str">
        <f t="shared" ca="1" si="15"/>
        <v>'ALL JOBS'!A8</v>
      </c>
      <c r="Y19" s="20" t="str">
        <f t="shared" ca="1" si="9"/>
        <v>'ALL JOBS'!B8</v>
      </c>
      <c r="Z19" s="20" t="str">
        <f t="shared" ca="1" si="10"/>
        <v>'ALL JOBS'!D8</v>
      </c>
      <c r="AA19" s="20" t="str">
        <f t="shared" ca="1" si="11"/>
        <v>'ALL JOBS'!E8</v>
      </c>
      <c r="AB19" s="20" t="str">
        <f t="shared" ca="1" si="16"/>
        <v>'ALL JOBS'!F8</v>
      </c>
      <c r="AC19" s="20" t="str">
        <f t="shared" ca="1" si="12"/>
        <v>'ALL JOBS'!G8</v>
      </c>
      <c r="AD19" s="20" t="str">
        <f t="shared" ca="1" si="13"/>
        <v>'ALL JOBS'!D29</v>
      </c>
      <c r="AE19" s="20" t="str">
        <f t="shared" ca="1" si="28"/>
        <v/>
      </c>
      <c r="AF19" s="20">
        <f t="shared" ca="1" si="29"/>
        <v>16</v>
      </c>
      <c r="AG19" s="20" t="str">
        <f t="shared" si="30"/>
        <v>'ALL JOBS'!D25</v>
      </c>
      <c r="AH19" s="20" t="str">
        <f t="shared" si="31"/>
        <v>'ALL JOBS'!F25</v>
      </c>
      <c r="AJ19" s="20" t="b">
        <f ca="1">(OR(INDIRECT(L19)=MAX('ALL JOBS'!A:A),AJ18))</f>
        <v>0</v>
      </c>
    </row>
    <row r="20" spans="1:36" ht="30" customHeight="1">
      <c r="A20" s="20">
        <f t="shared" ref="A20:A77" ca="1" si="32">IF(AND($AE21="Y",$AE20=""),"",IF($AE20="Y",INDIRECT(X20),IF($S20="Y",INDIRECT(L20),"")))</f>
        <v>20</v>
      </c>
      <c r="B20" s="17" t="str">
        <f t="shared" ref="B20:B77" ca="1" si="33">IF(AND($AE21="Y",$AE20=""),"THE FOLLOWING JOBS ARE NOT TO BE DONE THIS YEAR",IF($AE20="Y",INDIRECT(Y20),IF($S20="Y",INDIRECT(M20),"")))</f>
        <v xml:space="preserve">Check mounts, transmission and alternator belt </v>
      </c>
      <c r="C20" s="18">
        <f t="shared" ref="C20:C77" ca="1" si="34">IF(AND($AE21="Y",$AE20=""),"",IF($AE20="Y",INDIRECT(Z20),IF($S20="Y",INDIRECT(N20),"")))</f>
        <v>0</v>
      </c>
      <c r="D20" s="18" t="str">
        <f t="shared" ref="D20:D77" ca="1" si="35">IF(AND($AE21="Y",$AE20=""),"",IF($AE20="Y",INDIRECT(AA20),IF($S20="Y",INDIRECT(O20),"")))</f>
        <v>Start of Season</v>
      </c>
      <c r="E20" s="18" t="str">
        <f t="shared" ref="E20:E77" ca="1" si="36">IF(AND($AE21="Y",$AE20=""),"",IF($AE20="Y",INDIRECT(AB20),IF($S20="Y",INDIRECT(P20),"")))</f>
        <v>PB /JWD</v>
      </c>
      <c r="F20" s="19">
        <f t="shared" ref="F20:F77" ca="1" si="37">IF(AND($AE21="Y",$AE20=""),"",IF($AE20="Y",INDIRECT(AC20),IF($S20="Y",INDIRECT(Q20),"")))</f>
        <v>0</v>
      </c>
      <c r="G20" s="20" t="str">
        <f ca="1">IF($C$1="ALL",IF(INDIRECT(AH20)="","",IF(INDIRECT(AG20)&gt;MAX(Budget!$B$3,Budget!$E$3),"","Y")),IF(ISERR(FIND($C$1,INDIRECT(AH20))),"",IF(INDIRECT(AG20)&gt;MAX(Budget!$B$3,Budget!$E$3),"","Y")))</f>
        <v>Y</v>
      </c>
      <c r="H20" s="20">
        <f t="shared" ref="H20:H77" si="38">ROW(G20)</f>
        <v>20</v>
      </c>
      <c r="I20" s="20">
        <f t="shared" ref="I20:I77" ca="1" si="39">VLOOKUP("Y",INDIRECT(K20),2,FALSE)</f>
        <v>25</v>
      </c>
      <c r="J20" s="20">
        <f t="shared" ref="J20:J77" ca="1" si="40">VLOOKUP("Y",INDIRECT(K20),2,FALSE)</f>
        <v>25</v>
      </c>
      <c r="K20" s="20" t="str">
        <f ca="1">CONCATENATE("G",J19+1,":I",'ALL JOBS'!$K$9)</f>
        <v>G24:I56</v>
      </c>
      <c r="L20" s="20" t="str">
        <f t="shared" ca="1" si="14"/>
        <v>'ALL JOBS'!A31</v>
      </c>
      <c r="M20" s="20" t="str">
        <f t="shared" ca="1" si="3"/>
        <v>'ALL JOBS'!B31</v>
      </c>
      <c r="N20" s="20" t="str">
        <f t="shared" ca="1" si="4"/>
        <v>'ALL JOBS'!D31</v>
      </c>
      <c r="O20" s="20" t="str">
        <f t="shared" ca="1" si="5"/>
        <v>'ALL JOBS'!E31</v>
      </c>
      <c r="P20" s="20" t="str">
        <f t="shared" ca="1" si="6"/>
        <v>'ALL JOBS'!F31</v>
      </c>
      <c r="Q20" s="20" t="str">
        <f t="shared" ca="1" si="7"/>
        <v>'ALL JOBS'!G31</v>
      </c>
      <c r="R20" s="20" t="str">
        <f t="shared" ca="1" si="8"/>
        <v>'ALL JOBS'!D31</v>
      </c>
      <c r="S20" s="18" t="str">
        <f t="shared" ref="S20:S77" ca="1" si="41">IF(ISNA(I20),"","Y")</f>
        <v>Y</v>
      </c>
      <c r="T20" s="21" t="str">
        <f>IF($C$1="ALL",IF('ALL JOBS'!F26="","",IF('ALL JOBS'!D26&lt;=Budget!$B$3,"","Y")),IF(ISERR(FIND($C$1,'ALL JOBS'!F26)),IF($E$1="","",IF(ISERR(FIND($E$1,'ALL JOBS'!F26)),"",IF('ALL JOBS'!D26&lt;=Budget!$B$3,"","Y"))),IF('ALL JOBS'!D26&lt;=Budget!$B$3,"","Y")))</f>
        <v/>
      </c>
      <c r="U20" s="20">
        <f t="shared" ref="U20:U77" si="42">H20</f>
        <v>20</v>
      </c>
      <c r="V20" s="20">
        <f t="shared" ref="V20:V77" ca="1" si="43">IF(AND(ISNA(I20),ISNA(I19),ISNA(I17)),VLOOKUP("Y",INDIRECT(W20),2,FALSE),V19)</f>
        <v>2</v>
      </c>
      <c r="W20" s="20" t="str">
        <f t="shared" ref="W20:W77" ca="1" si="44">CONCATENATE("T",V19+1,":U72")</f>
        <v>T3:U72</v>
      </c>
      <c r="X20" s="20" t="str">
        <f t="shared" ca="1" si="15"/>
        <v>'ALL JOBS'!A8</v>
      </c>
      <c r="Y20" s="20" t="str">
        <f t="shared" ca="1" si="9"/>
        <v>'ALL JOBS'!B8</v>
      </c>
      <c r="Z20" s="20" t="str">
        <f t="shared" ca="1" si="10"/>
        <v>'ALL JOBS'!D8</v>
      </c>
      <c r="AA20" s="20" t="str">
        <f t="shared" ca="1" si="11"/>
        <v>'ALL JOBS'!E8</v>
      </c>
      <c r="AB20" s="20" t="str">
        <f t="shared" ca="1" si="16"/>
        <v>'ALL JOBS'!F8</v>
      </c>
      <c r="AC20" s="20" t="str">
        <f t="shared" ca="1" si="12"/>
        <v>'ALL JOBS'!G8</v>
      </c>
      <c r="AD20" s="20" t="str">
        <f t="shared" ca="1" si="13"/>
        <v>'ALL JOBS'!D31</v>
      </c>
      <c r="AE20" s="20" t="str">
        <f t="shared" ref="AE20:AE77" ca="1" si="45">IF(ISNA(V20),"",IF(V20=V19,"","Y"))</f>
        <v/>
      </c>
      <c r="AF20" s="20">
        <f t="shared" ref="AF20:AF77" ca="1" si="46">IF(AND($AE21="Y",$AE20=""),"",IF($AE20="Y",0,IF($S20="Y",ROW(B20)-3,"")))</f>
        <v>17</v>
      </c>
      <c r="AG20" s="20" t="str">
        <f t="shared" ref="AG20:AG77" si="47">CONCATENATE("'ALL JOBS'!D",ROW(AF20)+6)</f>
        <v>'ALL JOBS'!D26</v>
      </c>
      <c r="AH20" s="20" t="str">
        <f t="shared" ref="AH20:AH77" si="48">CONCATENATE("'ALL JOBS'!F",ROW(AF20)+6)</f>
        <v>'ALL JOBS'!F26</v>
      </c>
      <c r="AJ20" s="20" t="b">
        <f ca="1">(OR(INDIRECT(L20)=MAX('ALL JOBS'!A:A),AJ19))</f>
        <v>0</v>
      </c>
    </row>
    <row r="21" spans="1:36" ht="30" customHeight="1">
      <c r="A21" s="20">
        <f t="shared" ca="1" si="32"/>
        <v>21</v>
      </c>
      <c r="B21" s="17" t="str">
        <f t="shared" ca="1" si="33"/>
        <v xml:space="preserve">Check propeller </v>
      </c>
      <c r="C21" s="18">
        <f t="shared" ca="1" si="34"/>
        <v>0</v>
      </c>
      <c r="D21" s="18" t="str">
        <f t="shared" ca="1" si="35"/>
        <v>Start of Season</v>
      </c>
      <c r="E21" s="18" t="str">
        <f t="shared" ca="1" si="36"/>
        <v>PB</v>
      </c>
      <c r="F21" s="19">
        <f t="shared" ca="1" si="37"/>
        <v>0</v>
      </c>
      <c r="G21" s="20" t="str">
        <f ca="1">IF($C$1="ALL",IF(INDIRECT(AH21)="","",IF(INDIRECT(AG21)&gt;MAX(Budget!$B$3,Budget!$E$3),"","Y")),IF(ISERR(FIND($C$1,INDIRECT(AH21))),"",IF(INDIRECT(AG21)&gt;MAX(Budget!$B$3,Budget!$E$3),"","Y")))</f>
        <v>Y</v>
      </c>
      <c r="H21" s="20">
        <f t="shared" si="38"/>
        <v>21</v>
      </c>
      <c r="I21" s="20">
        <f t="shared" ca="1" si="39"/>
        <v>26</v>
      </c>
      <c r="J21" s="20">
        <f t="shared" ca="1" si="40"/>
        <v>26</v>
      </c>
      <c r="K21" s="20" t="str">
        <f ca="1">CONCATENATE("G",J20+1,":I",'ALL JOBS'!$K$9)</f>
        <v>G26:I56</v>
      </c>
      <c r="L21" s="20" t="str">
        <f t="shared" ca="1" si="14"/>
        <v>'ALL JOBS'!A32</v>
      </c>
      <c r="M21" s="20" t="str">
        <f t="shared" ca="1" si="3"/>
        <v>'ALL JOBS'!B32</v>
      </c>
      <c r="N21" s="20" t="str">
        <f t="shared" ca="1" si="4"/>
        <v>'ALL JOBS'!D32</v>
      </c>
      <c r="O21" s="20" t="str">
        <f t="shared" ca="1" si="5"/>
        <v>'ALL JOBS'!E32</v>
      </c>
      <c r="P21" s="20" t="str">
        <f t="shared" ca="1" si="6"/>
        <v>'ALL JOBS'!F32</v>
      </c>
      <c r="Q21" s="20" t="str">
        <f t="shared" ca="1" si="7"/>
        <v>'ALL JOBS'!G32</v>
      </c>
      <c r="R21" s="20" t="str">
        <f t="shared" ca="1" si="8"/>
        <v>'ALL JOBS'!D32</v>
      </c>
      <c r="S21" s="18" t="str">
        <f t="shared" ca="1" si="41"/>
        <v>Y</v>
      </c>
      <c r="T21" s="21" t="str">
        <f>IF($C$1="ALL",IF('ALL JOBS'!F27="","",IF('ALL JOBS'!D27&lt;=Budget!$B$3,"","Y")),IF(ISERR(FIND($C$1,'ALL JOBS'!F27)),IF($E$1="","",IF(ISERR(FIND($E$1,'ALL JOBS'!F27)),"",IF('ALL JOBS'!D27&lt;=Budget!$B$3,"","Y"))),IF('ALL JOBS'!D27&lt;=Budget!$B$3,"","Y")))</f>
        <v/>
      </c>
      <c r="U21" s="20">
        <f t="shared" si="42"/>
        <v>21</v>
      </c>
      <c r="V21" s="20">
        <f t="shared" ca="1" si="43"/>
        <v>2</v>
      </c>
      <c r="W21" s="20" t="str">
        <f t="shared" ca="1" si="44"/>
        <v>T3:U72</v>
      </c>
      <c r="X21" s="20" t="str">
        <f t="shared" ca="1" si="15"/>
        <v>'ALL JOBS'!A8</v>
      </c>
      <c r="Y21" s="20" t="str">
        <f t="shared" ca="1" si="9"/>
        <v>'ALL JOBS'!B8</v>
      </c>
      <c r="Z21" s="20" t="str">
        <f t="shared" ca="1" si="10"/>
        <v>'ALL JOBS'!D8</v>
      </c>
      <c r="AA21" s="20" t="str">
        <f t="shared" ca="1" si="11"/>
        <v>'ALL JOBS'!E8</v>
      </c>
      <c r="AB21" s="20" t="str">
        <f t="shared" ca="1" si="16"/>
        <v>'ALL JOBS'!F8</v>
      </c>
      <c r="AC21" s="20" t="str">
        <f t="shared" ca="1" si="12"/>
        <v>'ALL JOBS'!G8</v>
      </c>
      <c r="AD21" s="20" t="str">
        <f t="shared" ca="1" si="13"/>
        <v>'ALL JOBS'!D32</v>
      </c>
      <c r="AE21" s="20" t="str">
        <f t="shared" ca="1" si="45"/>
        <v/>
      </c>
      <c r="AF21" s="20">
        <f t="shared" ca="1" si="46"/>
        <v>18</v>
      </c>
      <c r="AG21" s="20" t="str">
        <f t="shared" si="47"/>
        <v>'ALL JOBS'!D27</v>
      </c>
      <c r="AH21" s="20" t="str">
        <f t="shared" si="48"/>
        <v>'ALL JOBS'!F27</v>
      </c>
      <c r="AJ21" s="20" t="b">
        <f ca="1">(OR(INDIRECT(L21)=MAX('ALL JOBS'!A:A),AJ20))</f>
        <v>0</v>
      </c>
    </row>
    <row r="22" spans="1:36" ht="30" customHeight="1">
      <c r="A22" s="20">
        <f t="shared" ca="1" si="32"/>
        <v>22</v>
      </c>
      <c r="B22" s="17" t="str">
        <f t="shared" ca="1" si="33"/>
        <v xml:space="preserve">Check/fix bilge pumps and auto switches operational </v>
      </c>
      <c r="C22" s="18">
        <f t="shared" ca="1" si="34"/>
        <v>0</v>
      </c>
      <c r="D22" s="18" t="str">
        <f t="shared" ca="1" si="35"/>
        <v>Start of Season</v>
      </c>
      <c r="E22" s="18" t="str">
        <f t="shared" ca="1" si="36"/>
        <v>PB /JWD</v>
      </c>
      <c r="F22" s="19">
        <f t="shared" ca="1" si="37"/>
        <v>0</v>
      </c>
      <c r="G22" s="20" t="str">
        <f ca="1">IF($C$1="ALL",IF(INDIRECT(AH22)="","",IF(INDIRECT(AG22)&gt;MAX(Budget!$B$3,Budget!$E$3),"","Y")),IF(ISERR(FIND($C$1,INDIRECT(AH22))),"",IF(INDIRECT(AG22)&gt;MAX(Budget!$B$3,Budget!$E$3),"","Y")))</f>
        <v>Y</v>
      </c>
      <c r="H22" s="20">
        <f t="shared" si="38"/>
        <v>22</v>
      </c>
      <c r="I22" s="20">
        <f t="shared" ca="1" si="39"/>
        <v>27</v>
      </c>
      <c r="J22" s="20">
        <f t="shared" ca="1" si="40"/>
        <v>27</v>
      </c>
      <c r="K22" s="20" t="str">
        <f ca="1">CONCATENATE("G",J21+1,":I",'ALL JOBS'!$K$9)</f>
        <v>G27:I56</v>
      </c>
      <c r="L22" s="20" t="str">
        <f t="shared" ca="1" si="14"/>
        <v>'ALL JOBS'!A33</v>
      </c>
      <c r="M22" s="20" t="str">
        <f t="shared" ca="1" si="3"/>
        <v>'ALL JOBS'!B33</v>
      </c>
      <c r="N22" s="20" t="str">
        <f t="shared" ca="1" si="4"/>
        <v>'ALL JOBS'!D33</v>
      </c>
      <c r="O22" s="20" t="str">
        <f t="shared" ca="1" si="5"/>
        <v>'ALL JOBS'!E33</v>
      </c>
      <c r="P22" s="20" t="str">
        <f t="shared" ca="1" si="6"/>
        <v>'ALL JOBS'!F33</v>
      </c>
      <c r="Q22" s="20" t="str">
        <f t="shared" ca="1" si="7"/>
        <v>'ALL JOBS'!G33</v>
      </c>
      <c r="R22" s="20" t="str">
        <f t="shared" ca="1" si="8"/>
        <v>'ALL JOBS'!D33</v>
      </c>
      <c r="S22" s="18" t="str">
        <f t="shared" ca="1" si="41"/>
        <v>Y</v>
      </c>
      <c r="T22" s="21" t="str">
        <f>IF($C$1="ALL",IF('ALL JOBS'!F28="","",IF('ALL JOBS'!D28&lt;=Budget!$B$3,"","Y")),IF(ISERR(FIND($C$1,'ALL JOBS'!F28)),IF($E$1="","",IF(ISERR(FIND($E$1,'ALL JOBS'!F28)),"",IF('ALL JOBS'!D28&lt;=Budget!$B$3,"","Y"))),IF('ALL JOBS'!D28&lt;=Budget!$B$3,"","Y")))</f>
        <v/>
      </c>
      <c r="U22" s="20">
        <f t="shared" si="42"/>
        <v>22</v>
      </c>
      <c r="V22" s="20">
        <f t="shared" ca="1" si="43"/>
        <v>2</v>
      </c>
      <c r="W22" s="20" t="str">
        <f t="shared" ca="1" si="44"/>
        <v>T3:U72</v>
      </c>
      <c r="X22" s="20" t="str">
        <f t="shared" ca="1" si="15"/>
        <v>'ALL JOBS'!A8</v>
      </c>
      <c r="Y22" s="20" t="str">
        <f t="shared" ca="1" si="9"/>
        <v>'ALL JOBS'!B8</v>
      </c>
      <c r="Z22" s="20" t="str">
        <f t="shared" ca="1" si="10"/>
        <v>'ALL JOBS'!D8</v>
      </c>
      <c r="AA22" s="20" t="str">
        <f t="shared" ca="1" si="11"/>
        <v>'ALL JOBS'!E8</v>
      </c>
      <c r="AB22" s="20" t="str">
        <f t="shared" ca="1" si="16"/>
        <v>'ALL JOBS'!F8</v>
      </c>
      <c r="AC22" s="20" t="str">
        <f t="shared" ca="1" si="12"/>
        <v>'ALL JOBS'!G8</v>
      </c>
      <c r="AD22" s="20" t="str">
        <f t="shared" ca="1" si="13"/>
        <v>'ALL JOBS'!D33</v>
      </c>
      <c r="AE22" s="20" t="str">
        <f t="shared" ca="1" si="45"/>
        <v/>
      </c>
      <c r="AF22" s="20">
        <f t="shared" ca="1" si="46"/>
        <v>19</v>
      </c>
      <c r="AG22" s="20" t="str">
        <f t="shared" si="47"/>
        <v>'ALL JOBS'!D28</v>
      </c>
      <c r="AH22" s="20" t="str">
        <f t="shared" si="48"/>
        <v>'ALL JOBS'!F28</v>
      </c>
      <c r="AJ22" s="20" t="b">
        <f ca="1">(OR(INDIRECT(L22)=MAX('ALL JOBS'!A:A),AJ21))</f>
        <v>0</v>
      </c>
    </row>
    <row r="23" spans="1:36" ht="30" customHeight="1">
      <c r="A23" s="20">
        <f t="shared" ca="1" si="32"/>
        <v>24</v>
      </c>
      <c r="B23" s="17" t="str">
        <f t="shared" ca="1" si="33"/>
        <v>Service engine (oil &amp; filters mid season)  add diesel tonic, Oil and filter, Fuel filter,</v>
      </c>
      <c r="C23" s="18">
        <f t="shared" ca="1" si="34"/>
        <v>0</v>
      </c>
      <c r="D23" s="18" t="str">
        <f t="shared" ca="1" si="35"/>
        <v>Start of Season</v>
      </c>
      <c r="E23" s="18" t="str">
        <f t="shared" ca="1" si="36"/>
        <v>PB /JWD</v>
      </c>
      <c r="F23" s="19">
        <f t="shared" ca="1" si="37"/>
        <v>26</v>
      </c>
      <c r="G23" s="20" t="str">
        <f ca="1">IF($C$1="ALL",IF(INDIRECT(AH23)="","",IF(INDIRECT(AG23)&gt;MAX(Budget!$B$3,Budget!$E$3),"","Y")),IF(ISERR(FIND($C$1,INDIRECT(AH23))),"",IF(INDIRECT(AG23)&gt;MAX(Budget!$B$3,Budget!$E$3),"","Y")))</f>
        <v>Y</v>
      </c>
      <c r="H23" s="20">
        <f t="shared" si="38"/>
        <v>23</v>
      </c>
      <c r="I23" s="20">
        <f t="shared" ca="1" si="39"/>
        <v>29</v>
      </c>
      <c r="J23" s="20">
        <f t="shared" ca="1" si="40"/>
        <v>29</v>
      </c>
      <c r="K23" s="20" t="str">
        <f ca="1">CONCATENATE("G",J22+1,":I",'ALL JOBS'!$K$9)</f>
        <v>G28:I56</v>
      </c>
      <c r="L23" s="20" t="str">
        <f t="shared" ca="1" si="14"/>
        <v>'ALL JOBS'!A35</v>
      </c>
      <c r="M23" s="20" t="str">
        <f t="shared" ca="1" si="3"/>
        <v>'ALL JOBS'!B35</v>
      </c>
      <c r="N23" s="20" t="str">
        <f t="shared" ca="1" si="4"/>
        <v>'ALL JOBS'!D35</v>
      </c>
      <c r="O23" s="20" t="str">
        <f t="shared" ca="1" si="5"/>
        <v>'ALL JOBS'!E35</v>
      </c>
      <c r="P23" s="20" t="str">
        <f t="shared" ca="1" si="6"/>
        <v>'ALL JOBS'!F35</v>
      </c>
      <c r="Q23" s="20" t="str">
        <f t="shared" ca="1" si="7"/>
        <v>'ALL JOBS'!G35</v>
      </c>
      <c r="R23" s="20" t="str">
        <f t="shared" ca="1" si="8"/>
        <v>'ALL JOBS'!D35</v>
      </c>
      <c r="S23" s="18" t="str">
        <f t="shared" ca="1" si="41"/>
        <v>Y</v>
      </c>
      <c r="T23" s="21" t="str">
        <f>IF($C$1="ALL",IF('ALL JOBS'!F29="","",IF('ALL JOBS'!D29&lt;=Budget!$B$3,"","Y")),IF(ISERR(FIND($C$1,'ALL JOBS'!F29)),IF($E$1="","",IF(ISERR(FIND($E$1,'ALL JOBS'!F29)),"",IF('ALL JOBS'!D29&lt;=Budget!$B$3,"","Y"))),IF('ALL JOBS'!D29&lt;=Budget!$B$3,"","Y")))</f>
        <v/>
      </c>
      <c r="U23" s="20">
        <f t="shared" si="42"/>
        <v>23</v>
      </c>
      <c r="V23" s="20">
        <f t="shared" ca="1" si="43"/>
        <v>2</v>
      </c>
      <c r="W23" s="20" t="str">
        <f t="shared" ca="1" si="44"/>
        <v>T3:U72</v>
      </c>
      <c r="X23" s="20" t="str">
        <f t="shared" ca="1" si="15"/>
        <v>'ALL JOBS'!A8</v>
      </c>
      <c r="Y23" s="20" t="str">
        <f t="shared" ca="1" si="9"/>
        <v>'ALL JOBS'!B8</v>
      </c>
      <c r="Z23" s="20" t="str">
        <f t="shared" ca="1" si="10"/>
        <v>'ALL JOBS'!D8</v>
      </c>
      <c r="AA23" s="20" t="str">
        <f t="shared" ca="1" si="11"/>
        <v>'ALL JOBS'!E8</v>
      </c>
      <c r="AB23" s="20" t="str">
        <f t="shared" ca="1" si="16"/>
        <v>'ALL JOBS'!F8</v>
      </c>
      <c r="AC23" s="20" t="str">
        <f t="shared" ca="1" si="12"/>
        <v>'ALL JOBS'!G8</v>
      </c>
      <c r="AD23" s="20" t="str">
        <f t="shared" ca="1" si="13"/>
        <v>'ALL JOBS'!D35</v>
      </c>
      <c r="AE23" s="20" t="str">
        <f t="shared" ca="1" si="45"/>
        <v/>
      </c>
      <c r="AF23" s="20">
        <f t="shared" ca="1" si="46"/>
        <v>20</v>
      </c>
      <c r="AG23" s="20" t="str">
        <f t="shared" si="47"/>
        <v>'ALL JOBS'!D29</v>
      </c>
      <c r="AH23" s="20" t="str">
        <f t="shared" si="48"/>
        <v>'ALL JOBS'!F29</v>
      </c>
      <c r="AJ23" s="20" t="b">
        <f ca="1">(OR(INDIRECT(L23)=MAX('ALL JOBS'!A:A),AJ22))</f>
        <v>0</v>
      </c>
    </row>
    <row r="24" spans="1:36" ht="30" customHeight="1">
      <c r="A24" s="20">
        <f t="shared" ca="1" si="32"/>
        <v>25</v>
      </c>
      <c r="B24" s="17" t="str">
        <f t="shared" ca="1" si="33"/>
        <v>Laundry: clean blankets &amp; curtains?</v>
      </c>
      <c r="C24" s="18">
        <f t="shared" ca="1" si="34"/>
        <v>0</v>
      </c>
      <c r="D24" s="18" t="str">
        <f t="shared" ca="1" si="35"/>
        <v>Start of Season</v>
      </c>
      <c r="E24" s="18" t="str">
        <f t="shared" ca="1" si="36"/>
        <v>SB</v>
      </c>
      <c r="F24" s="19">
        <f t="shared" ca="1" si="37"/>
        <v>0</v>
      </c>
      <c r="G24" s="20" t="str">
        <f ca="1">IF($C$1="ALL",IF(INDIRECT(AH24)="","",IF(INDIRECT(AG24)&gt;MAX(Budget!$B$3,Budget!$E$3),"","Y")),IF(ISERR(FIND($C$1,INDIRECT(AH24))),"",IF(INDIRECT(AG24)&gt;MAX(Budget!$B$3,Budget!$E$3),"","Y")))</f>
        <v/>
      </c>
      <c r="H24" s="20">
        <f t="shared" si="38"/>
        <v>24</v>
      </c>
      <c r="I24" s="20">
        <f t="shared" ca="1" si="39"/>
        <v>30</v>
      </c>
      <c r="J24" s="20">
        <f t="shared" ca="1" si="40"/>
        <v>30</v>
      </c>
      <c r="K24" s="20" t="str">
        <f ca="1">CONCATENATE("G",J23+1,":I",'ALL JOBS'!$K$9)</f>
        <v>G30:I56</v>
      </c>
      <c r="L24" s="20" t="str">
        <f t="shared" ca="1" si="14"/>
        <v>'ALL JOBS'!A36</v>
      </c>
      <c r="M24" s="20" t="str">
        <f t="shared" ca="1" si="3"/>
        <v>'ALL JOBS'!B36</v>
      </c>
      <c r="N24" s="20" t="str">
        <f t="shared" ca="1" si="4"/>
        <v>'ALL JOBS'!D36</v>
      </c>
      <c r="O24" s="20" t="str">
        <f t="shared" ca="1" si="5"/>
        <v>'ALL JOBS'!E36</v>
      </c>
      <c r="P24" s="20" t="str">
        <f t="shared" ca="1" si="6"/>
        <v>'ALL JOBS'!F36</v>
      </c>
      <c r="Q24" s="20" t="str">
        <f t="shared" ca="1" si="7"/>
        <v>'ALL JOBS'!G36</v>
      </c>
      <c r="R24" s="20" t="str">
        <f t="shared" ca="1" si="8"/>
        <v>'ALL JOBS'!D36</v>
      </c>
      <c r="S24" s="18" t="str">
        <f t="shared" ca="1" si="41"/>
        <v>Y</v>
      </c>
      <c r="T24" s="21" t="str">
        <f>IF($C$1="ALL",IF('ALL JOBS'!F30="","",IF('ALL JOBS'!D30&lt;=Budget!$B$3,"","Y")),IF(ISERR(FIND($C$1,'ALL JOBS'!F30)),IF($E$1="","",IF(ISERR(FIND($E$1,'ALL JOBS'!F30)),"",IF('ALL JOBS'!D30&lt;=Budget!$B$3,"","Y"))),IF('ALL JOBS'!D30&lt;=Budget!$B$3,"","Y")))</f>
        <v/>
      </c>
      <c r="U24" s="20">
        <f t="shared" si="42"/>
        <v>24</v>
      </c>
      <c r="V24" s="20">
        <f t="shared" ca="1" si="43"/>
        <v>2</v>
      </c>
      <c r="W24" s="20" t="str">
        <f t="shared" ca="1" si="44"/>
        <v>T3:U72</v>
      </c>
      <c r="X24" s="20" t="str">
        <f t="shared" ca="1" si="15"/>
        <v>'ALL JOBS'!A8</v>
      </c>
      <c r="Y24" s="20" t="str">
        <f t="shared" ca="1" si="9"/>
        <v>'ALL JOBS'!B8</v>
      </c>
      <c r="Z24" s="20" t="str">
        <f t="shared" ca="1" si="10"/>
        <v>'ALL JOBS'!D8</v>
      </c>
      <c r="AA24" s="20" t="str">
        <f t="shared" ca="1" si="11"/>
        <v>'ALL JOBS'!E8</v>
      </c>
      <c r="AB24" s="20" t="str">
        <f t="shared" ca="1" si="16"/>
        <v>'ALL JOBS'!F8</v>
      </c>
      <c r="AC24" s="20" t="str">
        <f t="shared" ca="1" si="12"/>
        <v>'ALL JOBS'!G8</v>
      </c>
      <c r="AD24" s="20" t="str">
        <f t="shared" ca="1" si="13"/>
        <v>'ALL JOBS'!D36</v>
      </c>
      <c r="AE24" s="20" t="str">
        <f t="shared" ca="1" si="45"/>
        <v/>
      </c>
      <c r="AF24" s="20">
        <f t="shared" ca="1" si="46"/>
        <v>21</v>
      </c>
      <c r="AG24" s="20" t="str">
        <f t="shared" si="47"/>
        <v>'ALL JOBS'!D30</v>
      </c>
      <c r="AH24" s="20" t="str">
        <f t="shared" si="48"/>
        <v>'ALL JOBS'!F30</v>
      </c>
      <c r="AJ24" s="20" t="b">
        <f ca="1">(OR(INDIRECT(L24)=MAX('ALL JOBS'!A:A),AJ23))</f>
        <v>0</v>
      </c>
    </row>
    <row r="25" spans="1:36" ht="30" customHeight="1">
      <c r="A25" s="20">
        <f t="shared" ca="1" si="32"/>
        <v>26</v>
      </c>
      <c r="B25" s="17" t="str">
        <f t="shared" ca="1" si="33"/>
        <v>Check both gas locker vents to outside are clear</v>
      </c>
      <c r="C25" s="18">
        <f t="shared" ca="1" si="34"/>
        <v>0</v>
      </c>
      <c r="D25" s="18" t="str">
        <f t="shared" ca="1" si="35"/>
        <v>Start of Season</v>
      </c>
      <c r="E25" s="18" t="str">
        <f t="shared" ca="1" si="36"/>
        <v>TM</v>
      </c>
      <c r="F25" s="19">
        <f t="shared" ca="1" si="37"/>
        <v>0</v>
      </c>
      <c r="G25" s="20" t="str">
        <f ca="1">IF($C$1="ALL",IF(INDIRECT(AH25)="","",IF(INDIRECT(AG25)&gt;MAX(Budget!$B$3,Budget!$E$3),"","Y")),IF(ISERR(FIND($C$1,INDIRECT(AH25))),"",IF(INDIRECT(AG25)&gt;MAX(Budget!$B$3,Budget!$E$3),"","Y")))</f>
        <v>Y</v>
      </c>
      <c r="H25" s="20">
        <f t="shared" si="38"/>
        <v>25</v>
      </c>
      <c r="I25" s="20">
        <f t="shared" ca="1" si="39"/>
        <v>31</v>
      </c>
      <c r="J25" s="20">
        <f t="shared" ca="1" si="40"/>
        <v>31</v>
      </c>
      <c r="K25" s="20" t="str">
        <f ca="1">CONCATENATE("G",J24+1,":I",'ALL JOBS'!$K$9)</f>
        <v>G31:I56</v>
      </c>
      <c r="L25" s="20" t="str">
        <f t="shared" ca="1" si="14"/>
        <v>'ALL JOBS'!A37</v>
      </c>
      <c r="M25" s="20" t="str">
        <f t="shared" ca="1" si="3"/>
        <v>'ALL JOBS'!B37</v>
      </c>
      <c r="N25" s="20" t="str">
        <f t="shared" ca="1" si="4"/>
        <v>'ALL JOBS'!D37</v>
      </c>
      <c r="O25" s="20" t="str">
        <f t="shared" ca="1" si="5"/>
        <v>'ALL JOBS'!E37</v>
      </c>
      <c r="P25" s="20" t="str">
        <f t="shared" ca="1" si="6"/>
        <v>'ALL JOBS'!F37</v>
      </c>
      <c r="Q25" s="20" t="str">
        <f t="shared" ca="1" si="7"/>
        <v>'ALL JOBS'!G37</v>
      </c>
      <c r="R25" s="20" t="str">
        <f t="shared" ca="1" si="8"/>
        <v>'ALL JOBS'!D37</v>
      </c>
      <c r="S25" s="18" t="str">
        <f t="shared" ca="1" si="41"/>
        <v>Y</v>
      </c>
      <c r="T25" s="21" t="str">
        <f>IF($C$1="ALL",IF('ALL JOBS'!F31="","",IF('ALL JOBS'!D31&lt;=Budget!$B$3,"","Y")),IF(ISERR(FIND($C$1,'ALL JOBS'!F31)),IF($E$1="","",IF(ISERR(FIND($E$1,'ALL JOBS'!F31)),"",IF('ALL JOBS'!D31&lt;=Budget!$B$3,"","Y"))),IF('ALL JOBS'!D31&lt;=Budget!$B$3,"","Y")))</f>
        <v/>
      </c>
      <c r="U25" s="20">
        <f t="shared" si="42"/>
        <v>25</v>
      </c>
      <c r="V25" s="20">
        <f t="shared" ca="1" si="43"/>
        <v>2</v>
      </c>
      <c r="W25" s="20" t="str">
        <f t="shared" ca="1" si="44"/>
        <v>T3:U72</v>
      </c>
      <c r="X25" s="20" t="str">
        <f t="shared" ca="1" si="15"/>
        <v>'ALL JOBS'!A8</v>
      </c>
      <c r="Y25" s="20" t="str">
        <f t="shared" ca="1" si="9"/>
        <v>'ALL JOBS'!B8</v>
      </c>
      <c r="Z25" s="20" t="str">
        <f t="shared" ca="1" si="10"/>
        <v>'ALL JOBS'!D8</v>
      </c>
      <c r="AA25" s="20" t="str">
        <f t="shared" ca="1" si="11"/>
        <v>'ALL JOBS'!E8</v>
      </c>
      <c r="AB25" s="20" t="str">
        <f t="shared" ca="1" si="16"/>
        <v>'ALL JOBS'!F8</v>
      </c>
      <c r="AC25" s="20" t="str">
        <f t="shared" ca="1" si="12"/>
        <v>'ALL JOBS'!G8</v>
      </c>
      <c r="AD25" s="20" t="str">
        <f t="shared" ca="1" si="13"/>
        <v>'ALL JOBS'!D37</v>
      </c>
      <c r="AE25" s="20" t="str">
        <f t="shared" ca="1" si="45"/>
        <v/>
      </c>
      <c r="AF25" s="20">
        <f t="shared" ca="1" si="46"/>
        <v>22</v>
      </c>
      <c r="AG25" s="20" t="str">
        <f t="shared" si="47"/>
        <v>'ALL JOBS'!D31</v>
      </c>
      <c r="AH25" s="20" t="str">
        <f t="shared" si="48"/>
        <v>'ALL JOBS'!F31</v>
      </c>
      <c r="AJ25" s="20" t="b">
        <f ca="1">(OR(INDIRECT(L25)=MAX('ALL JOBS'!A:A),AJ24))</f>
        <v>0</v>
      </c>
    </row>
    <row r="26" spans="1:36" ht="30" customHeight="1">
      <c r="A26" s="20">
        <f t="shared" ca="1" si="32"/>
        <v>29</v>
      </c>
      <c r="B26" s="17" t="str">
        <f t="shared" ca="1" si="33"/>
        <v>Clean Shower sump (bucket) Check for leak</v>
      </c>
      <c r="C26" s="18">
        <f t="shared" ca="1" si="34"/>
        <v>0</v>
      </c>
      <c r="D26" s="18" t="str">
        <f t="shared" ca="1" si="35"/>
        <v>Start of Season</v>
      </c>
      <c r="E26" s="18" t="str">
        <f t="shared" ca="1" si="36"/>
        <v>TM</v>
      </c>
      <c r="F26" s="19">
        <f t="shared" ca="1" si="37"/>
        <v>0</v>
      </c>
      <c r="G26" s="20" t="str">
        <f ca="1">IF($C$1="ALL",IF(INDIRECT(AH26)="","",IF(INDIRECT(AG26)&gt;MAX(Budget!$B$3,Budget!$E$3),"","Y")),IF(ISERR(FIND($C$1,INDIRECT(AH26))),"",IF(INDIRECT(AG26)&gt;MAX(Budget!$B$3,Budget!$E$3),"","Y")))</f>
        <v>Y</v>
      </c>
      <c r="H26" s="20">
        <f t="shared" si="38"/>
        <v>26</v>
      </c>
      <c r="I26" s="20">
        <f t="shared" ca="1" si="39"/>
        <v>34</v>
      </c>
      <c r="J26" s="20">
        <f t="shared" ca="1" si="40"/>
        <v>34</v>
      </c>
      <c r="K26" s="20" t="str">
        <f ca="1">CONCATENATE("G",J25+1,":I",'ALL JOBS'!$K$9)</f>
        <v>G32:I56</v>
      </c>
      <c r="L26" s="20" t="str">
        <f t="shared" ca="1" si="14"/>
        <v>'ALL JOBS'!A40</v>
      </c>
      <c r="M26" s="20" t="str">
        <f t="shared" ca="1" si="3"/>
        <v>'ALL JOBS'!B40</v>
      </c>
      <c r="N26" s="20" t="str">
        <f t="shared" ca="1" si="4"/>
        <v>'ALL JOBS'!D40</v>
      </c>
      <c r="O26" s="20" t="str">
        <f t="shared" ca="1" si="5"/>
        <v>'ALL JOBS'!E40</v>
      </c>
      <c r="P26" s="20" t="str">
        <f t="shared" ca="1" si="6"/>
        <v>'ALL JOBS'!F40</v>
      </c>
      <c r="Q26" s="20" t="str">
        <f t="shared" ca="1" si="7"/>
        <v>'ALL JOBS'!G40</v>
      </c>
      <c r="R26" s="20" t="str">
        <f t="shared" ca="1" si="8"/>
        <v>'ALL JOBS'!D40</v>
      </c>
      <c r="S26" s="18" t="str">
        <f t="shared" ca="1" si="41"/>
        <v>Y</v>
      </c>
      <c r="T26" s="21" t="str">
        <f>IF($C$1="ALL",IF('ALL JOBS'!F32="","",IF('ALL JOBS'!D32&lt;=Budget!$B$3,"","Y")),IF(ISERR(FIND($C$1,'ALL JOBS'!F32)),IF($E$1="","",IF(ISERR(FIND($E$1,'ALL JOBS'!F32)),"",IF('ALL JOBS'!D32&lt;=Budget!$B$3,"","Y"))),IF('ALL JOBS'!D32&lt;=Budget!$B$3,"","Y")))</f>
        <v/>
      </c>
      <c r="U26" s="20">
        <f t="shared" si="42"/>
        <v>26</v>
      </c>
      <c r="V26" s="20">
        <f t="shared" ca="1" si="43"/>
        <v>2</v>
      </c>
      <c r="W26" s="20" t="str">
        <f t="shared" ca="1" si="44"/>
        <v>T3:U72</v>
      </c>
      <c r="X26" s="20" t="str">
        <f t="shared" ca="1" si="15"/>
        <v>'ALL JOBS'!A8</v>
      </c>
      <c r="Y26" s="20" t="str">
        <f t="shared" ca="1" si="9"/>
        <v>'ALL JOBS'!B8</v>
      </c>
      <c r="Z26" s="20" t="str">
        <f t="shared" ca="1" si="10"/>
        <v>'ALL JOBS'!D8</v>
      </c>
      <c r="AA26" s="20" t="str">
        <f t="shared" ca="1" si="11"/>
        <v>'ALL JOBS'!E8</v>
      </c>
      <c r="AB26" s="20" t="str">
        <f t="shared" ca="1" si="16"/>
        <v>'ALL JOBS'!F8</v>
      </c>
      <c r="AC26" s="20" t="str">
        <f t="shared" ca="1" si="12"/>
        <v>'ALL JOBS'!G8</v>
      </c>
      <c r="AD26" s="20" t="str">
        <f t="shared" ca="1" si="13"/>
        <v>'ALL JOBS'!D40</v>
      </c>
      <c r="AE26" s="20" t="str">
        <f t="shared" ca="1" si="45"/>
        <v/>
      </c>
      <c r="AF26" s="20">
        <f t="shared" ca="1" si="46"/>
        <v>23</v>
      </c>
      <c r="AG26" s="20" t="str">
        <f t="shared" si="47"/>
        <v>'ALL JOBS'!D32</v>
      </c>
      <c r="AH26" s="20" t="str">
        <f t="shared" si="48"/>
        <v>'ALL JOBS'!F32</v>
      </c>
      <c r="AJ26" s="20" t="b">
        <f ca="1">(OR(INDIRECT(L26)=MAX('ALL JOBS'!A:A),AJ25))</f>
        <v>0</v>
      </c>
    </row>
    <row r="27" spans="1:36" ht="30" customHeight="1">
      <c r="A27" s="20">
        <f t="shared" ca="1" si="32"/>
        <v>30</v>
      </c>
      <c r="B27" s="17" t="str">
        <f t="shared" ca="1" si="33"/>
        <v>Resolve starter issue</v>
      </c>
      <c r="C27" s="18">
        <f t="shared" ca="1" si="34"/>
        <v>1</v>
      </c>
      <c r="D27" s="18" t="str">
        <f t="shared" ca="1" si="35"/>
        <v>Electrics</v>
      </c>
      <c r="E27" s="18" t="str">
        <f t="shared" ca="1" si="36"/>
        <v>PB</v>
      </c>
      <c r="F27" s="19">
        <f t="shared" ca="1" si="37"/>
        <v>10</v>
      </c>
      <c r="G27" s="20" t="str">
        <f ca="1">IF($C$1="ALL",IF(INDIRECT(AH27)="","",IF(INDIRECT(AG27)&gt;MAX(Budget!$B$3,Budget!$E$3),"","Y")),IF(ISERR(FIND($C$1,INDIRECT(AH27))),"",IF(INDIRECT(AG27)&gt;MAX(Budget!$B$3,Budget!$E$3),"","Y")))</f>
        <v>Y</v>
      </c>
      <c r="H27" s="20">
        <f t="shared" si="38"/>
        <v>27</v>
      </c>
      <c r="I27" s="20">
        <f t="shared" ca="1" si="39"/>
        <v>36</v>
      </c>
      <c r="J27" s="20">
        <f t="shared" ca="1" si="40"/>
        <v>36</v>
      </c>
      <c r="K27" s="20" t="str">
        <f ca="1">CONCATENATE("G",J26+1,":I",'ALL JOBS'!$K$9)</f>
        <v>G35:I56</v>
      </c>
      <c r="L27" s="20" t="str">
        <f t="shared" ca="1" si="14"/>
        <v>'ALL JOBS'!A42</v>
      </c>
      <c r="M27" s="20" t="str">
        <f t="shared" ca="1" si="3"/>
        <v>'ALL JOBS'!B42</v>
      </c>
      <c r="N27" s="20" t="str">
        <f t="shared" ca="1" si="4"/>
        <v>'ALL JOBS'!D42</v>
      </c>
      <c r="O27" s="20" t="str">
        <f t="shared" ca="1" si="5"/>
        <v>'ALL JOBS'!E42</v>
      </c>
      <c r="P27" s="20" t="str">
        <f t="shared" ca="1" si="6"/>
        <v>'ALL JOBS'!F42</v>
      </c>
      <c r="Q27" s="20" t="str">
        <f t="shared" ca="1" si="7"/>
        <v>'ALL JOBS'!G42</v>
      </c>
      <c r="R27" s="20" t="str">
        <f t="shared" ca="1" si="8"/>
        <v>'ALL JOBS'!D42</v>
      </c>
      <c r="S27" s="18" t="str">
        <f t="shared" ca="1" si="41"/>
        <v>Y</v>
      </c>
      <c r="T27" s="21" t="str">
        <f>IF($C$1="ALL",IF('ALL JOBS'!F33="","",IF('ALL JOBS'!D33&lt;=Budget!$B$3,"","Y")),IF(ISERR(FIND($C$1,'ALL JOBS'!F33)),IF($E$1="","",IF(ISERR(FIND($E$1,'ALL JOBS'!F33)),"",IF('ALL JOBS'!D33&lt;=Budget!$B$3,"","Y"))),IF('ALL JOBS'!D33&lt;=Budget!$B$3,"","Y")))</f>
        <v/>
      </c>
      <c r="U27" s="20">
        <f t="shared" si="42"/>
        <v>27</v>
      </c>
      <c r="V27" s="20">
        <f t="shared" ca="1" si="43"/>
        <v>2</v>
      </c>
      <c r="W27" s="20" t="str">
        <f t="shared" ca="1" si="44"/>
        <v>T3:U72</v>
      </c>
      <c r="X27" s="20" t="str">
        <f t="shared" ca="1" si="15"/>
        <v>'ALL JOBS'!A8</v>
      </c>
      <c r="Y27" s="20" t="str">
        <f t="shared" ca="1" si="9"/>
        <v>'ALL JOBS'!B8</v>
      </c>
      <c r="Z27" s="20" t="str">
        <f t="shared" ca="1" si="10"/>
        <v>'ALL JOBS'!D8</v>
      </c>
      <c r="AA27" s="20" t="str">
        <f t="shared" ca="1" si="11"/>
        <v>'ALL JOBS'!E8</v>
      </c>
      <c r="AB27" s="20" t="str">
        <f t="shared" ca="1" si="16"/>
        <v>'ALL JOBS'!F8</v>
      </c>
      <c r="AC27" s="20" t="str">
        <f t="shared" ca="1" si="12"/>
        <v>'ALL JOBS'!G8</v>
      </c>
      <c r="AD27" s="20" t="str">
        <f t="shared" ca="1" si="13"/>
        <v>'ALL JOBS'!D42</v>
      </c>
      <c r="AE27" s="20" t="str">
        <f t="shared" ca="1" si="45"/>
        <v/>
      </c>
      <c r="AF27" s="20">
        <f t="shared" ca="1" si="46"/>
        <v>24</v>
      </c>
      <c r="AG27" s="20" t="str">
        <f t="shared" si="47"/>
        <v>'ALL JOBS'!D33</v>
      </c>
      <c r="AH27" s="20" t="str">
        <f t="shared" si="48"/>
        <v>'ALL JOBS'!F33</v>
      </c>
      <c r="AJ27" s="20" t="b">
        <f ca="1">(OR(INDIRECT(L27)=MAX('ALL JOBS'!A:A),AJ26))</f>
        <v>0</v>
      </c>
    </row>
    <row r="28" spans="1:36" ht="30" customHeight="1">
      <c r="A28" s="20">
        <f t="shared" ca="1" si="32"/>
        <v>31</v>
      </c>
      <c r="B28" s="17" t="str">
        <f t="shared" ca="1" si="33"/>
        <v>Boiler check</v>
      </c>
      <c r="C28" s="18">
        <f t="shared" ca="1" si="34"/>
        <v>1</v>
      </c>
      <c r="D28" s="18" t="str">
        <f t="shared" ca="1" si="35"/>
        <v>Gas</v>
      </c>
      <c r="E28" s="18" t="str">
        <f t="shared" ca="1" si="36"/>
        <v>PB</v>
      </c>
      <c r="F28" s="19">
        <f t="shared" ca="1" si="37"/>
        <v>75</v>
      </c>
      <c r="G28" s="20" t="str">
        <f ca="1">IF($C$1="ALL",IF(INDIRECT(AH28)="","",IF(INDIRECT(AG28)&gt;MAX(Budget!$B$3,Budget!$E$3),"","Y")),IF(ISERR(FIND($C$1,INDIRECT(AH28))),"",IF(INDIRECT(AG28)&gt;MAX(Budget!$B$3,Budget!$E$3),"","Y")))</f>
        <v/>
      </c>
      <c r="H28" s="20">
        <f t="shared" si="38"/>
        <v>28</v>
      </c>
      <c r="I28" s="20">
        <f t="shared" ca="1" si="39"/>
        <v>37</v>
      </c>
      <c r="J28" s="20">
        <f t="shared" ca="1" si="40"/>
        <v>37</v>
      </c>
      <c r="K28" s="20" t="str">
        <f ca="1">CONCATENATE("G",J27+1,":I",'ALL JOBS'!$K$9)</f>
        <v>G37:I56</v>
      </c>
      <c r="L28" s="20" t="str">
        <f t="shared" ca="1" si="14"/>
        <v>'ALL JOBS'!A43</v>
      </c>
      <c r="M28" s="20" t="str">
        <f t="shared" ca="1" si="3"/>
        <v>'ALL JOBS'!B43</v>
      </c>
      <c r="N28" s="20" t="str">
        <f t="shared" ca="1" si="4"/>
        <v>'ALL JOBS'!D43</v>
      </c>
      <c r="O28" s="20" t="str">
        <f t="shared" ca="1" si="5"/>
        <v>'ALL JOBS'!E43</v>
      </c>
      <c r="P28" s="20" t="str">
        <f t="shared" ca="1" si="6"/>
        <v>'ALL JOBS'!F43</v>
      </c>
      <c r="Q28" s="20" t="str">
        <f t="shared" ca="1" si="7"/>
        <v>'ALL JOBS'!G43</v>
      </c>
      <c r="R28" s="20" t="str">
        <f t="shared" ca="1" si="8"/>
        <v>'ALL JOBS'!D43</v>
      </c>
      <c r="S28" s="18" t="str">
        <f t="shared" ca="1" si="41"/>
        <v>Y</v>
      </c>
      <c r="T28" s="21" t="str">
        <f>IF($C$1="ALL",IF('ALL JOBS'!F34="","",IF('ALL JOBS'!D34&lt;=Budget!$B$3,"","Y")),IF(ISERR(FIND($C$1,'ALL JOBS'!F34)),IF($E$1="","",IF(ISERR(FIND($E$1,'ALL JOBS'!F34)),"",IF('ALL JOBS'!D34&lt;=Budget!$B$3,"","Y"))),IF('ALL JOBS'!D34&lt;=Budget!$B$3,"","Y")))</f>
        <v/>
      </c>
      <c r="U28" s="20">
        <f t="shared" si="42"/>
        <v>28</v>
      </c>
      <c r="V28" s="20">
        <f t="shared" ca="1" si="43"/>
        <v>2</v>
      </c>
      <c r="W28" s="20" t="str">
        <f t="shared" ca="1" si="44"/>
        <v>T3:U72</v>
      </c>
      <c r="X28" s="20" t="str">
        <f t="shared" ca="1" si="15"/>
        <v>'ALL JOBS'!A8</v>
      </c>
      <c r="Y28" s="20" t="str">
        <f t="shared" ca="1" si="9"/>
        <v>'ALL JOBS'!B8</v>
      </c>
      <c r="Z28" s="20" t="str">
        <f t="shared" ca="1" si="10"/>
        <v>'ALL JOBS'!D8</v>
      </c>
      <c r="AA28" s="20" t="str">
        <f t="shared" ca="1" si="11"/>
        <v>'ALL JOBS'!E8</v>
      </c>
      <c r="AB28" s="20" t="str">
        <f t="shared" ca="1" si="16"/>
        <v>'ALL JOBS'!F8</v>
      </c>
      <c r="AC28" s="20" t="str">
        <f t="shared" ca="1" si="12"/>
        <v>'ALL JOBS'!G8</v>
      </c>
      <c r="AD28" s="20" t="str">
        <f t="shared" ca="1" si="13"/>
        <v>'ALL JOBS'!D43</v>
      </c>
      <c r="AE28" s="20" t="str">
        <f t="shared" ca="1" si="45"/>
        <v/>
      </c>
      <c r="AF28" s="20">
        <f t="shared" ca="1" si="46"/>
        <v>25</v>
      </c>
      <c r="AG28" s="20" t="str">
        <f t="shared" si="47"/>
        <v>'ALL JOBS'!D34</v>
      </c>
      <c r="AH28" s="20" t="str">
        <f t="shared" si="48"/>
        <v>'ALL JOBS'!F34</v>
      </c>
      <c r="AJ28" s="20" t="b">
        <f ca="1">(OR(INDIRECT(L28)=MAX('ALL JOBS'!A:A),AJ27))</f>
        <v>0</v>
      </c>
    </row>
    <row r="29" spans="1:36" ht="30" customHeight="1">
      <c r="A29" s="20">
        <f t="shared" ca="1" si="32"/>
        <v>32</v>
      </c>
      <c r="B29" s="17" t="str">
        <f t="shared" ca="1" si="33"/>
        <v xml:space="preserve">Jobs by Danny to support painting </v>
      </c>
      <c r="C29" s="18">
        <f t="shared" ca="1" si="34"/>
        <v>1</v>
      </c>
      <c r="D29" s="18" t="str">
        <f t="shared" ca="1" si="35"/>
        <v>Hull &amp; Structure</v>
      </c>
      <c r="E29" s="18" t="str">
        <f t="shared" ca="1" si="36"/>
        <v>Danny</v>
      </c>
      <c r="F29" s="19">
        <f t="shared" ca="1" si="37"/>
        <v>500</v>
      </c>
      <c r="G29" s="20" t="str">
        <f ca="1">IF($C$1="ALL",IF(INDIRECT(AH29)="","",IF(INDIRECT(AG29)&gt;MAX(Budget!$B$3,Budget!$E$3),"","Y")),IF(ISERR(FIND($C$1,INDIRECT(AH29))),"",IF(INDIRECT(AG29)&gt;MAX(Budget!$B$3,Budget!$E$3),"","Y")))</f>
        <v>Y</v>
      </c>
      <c r="H29" s="20">
        <f t="shared" si="38"/>
        <v>29</v>
      </c>
      <c r="I29" s="20">
        <f t="shared" ca="1" si="39"/>
        <v>38</v>
      </c>
      <c r="J29" s="20">
        <f t="shared" ca="1" si="40"/>
        <v>38</v>
      </c>
      <c r="K29" s="20" t="str">
        <f ca="1">CONCATENATE("G",J28+1,":I",'ALL JOBS'!$K$9)</f>
        <v>G38:I56</v>
      </c>
      <c r="L29" s="20" t="str">
        <f t="shared" ca="1" si="14"/>
        <v>'ALL JOBS'!A44</v>
      </c>
      <c r="M29" s="20" t="str">
        <f t="shared" ca="1" si="3"/>
        <v>'ALL JOBS'!B44</v>
      </c>
      <c r="N29" s="20" t="str">
        <f t="shared" ca="1" si="4"/>
        <v>'ALL JOBS'!D44</v>
      </c>
      <c r="O29" s="20" t="str">
        <f t="shared" ca="1" si="5"/>
        <v>'ALL JOBS'!E44</v>
      </c>
      <c r="P29" s="20" t="str">
        <f t="shared" ca="1" si="6"/>
        <v>'ALL JOBS'!F44</v>
      </c>
      <c r="Q29" s="20" t="str">
        <f t="shared" ca="1" si="7"/>
        <v>'ALL JOBS'!G44</v>
      </c>
      <c r="R29" s="20" t="str">
        <f t="shared" ca="1" si="8"/>
        <v>'ALL JOBS'!D44</v>
      </c>
      <c r="S29" s="18" t="str">
        <f t="shared" ca="1" si="41"/>
        <v>Y</v>
      </c>
      <c r="T29" s="21" t="str">
        <f>IF($C$1="ALL",IF('ALL JOBS'!F35="","",IF('ALL JOBS'!D35&lt;=Budget!$B$3,"","Y")),IF(ISERR(FIND($C$1,'ALL JOBS'!F35)),IF($E$1="","",IF(ISERR(FIND($E$1,'ALL JOBS'!F35)),"",IF('ALL JOBS'!D35&lt;=Budget!$B$3,"","Y"))),IF('ALL JOBS'!D35&lt;=Budget!$B$3,"","Y")))</f>
        <v/>
      </c>
      <c r="U29" s="20">
        <f t="shared" si="42"/>
        <v>29</v>
      </c>
      <c r="V29" s="20">
        <f t="shared" ca="1" si="43"/>
        <v>2</v>
      </c>
      <c r="W29" s="20" t="str">
        <f t="shared" ca="1" si="44"/>
        <v>T3:U72</v>
      </c>
      <c r="X29" s="20" t="str">
        <f t="shared" ca="1" si="15"/>
        <v>'ALL JOBS'!A8</v>
      </c>
      <c r="Y29" s="20" t="str">
        <f t="shared" ca="1" si="9"/>
        <v>'ALL JOBS'!B8</v>
      </c>
      <c r="Z29" s="20" t="str">
        <f t="shared" ca="1" si="10"/>
        <v>'ALL JOBS'!D8</v>
      </c>
      <c r="AA29" s="20" t="str">
        <f t="shared" ca="1" si="11"/>
        <v>'ALL JOBS'!E8</v>
      </c>
      <c r="AB29" s="20" t="str">
        <f t="shared" ca="1" si="16"/>
        <v>'ALL JOBS'!F8</v>
      </c>
      <c r="AC29" s="20" t="str">
        <f t="shared" ca="1" si="12"/>
        <v>'ALL JOBS'!G8</v>
      </c>
      <c r="AD29" s="20" t="str">
        <f t="shared" ca="1" si="13"/>
        <v>'ALL JOBS'!D44</v>
      </c>
      <c r="AE29" s="20" t="str">
        <f t="shared" ca="1" si="45"/>
        <v/>
      </c>
      <c r="AF29" s="20">
        <f t="shared" ca="1" si="46"/>
        <v>26</v>
      </c>
      <c r="AG29" s="20" t="str">
        <f t="shared" si="47"/>
        <v>'ALL JOBS'!D35</v>
      </c>
      <c r="AH29" s="20" t="str">
        <f t="shared" si="48"/>
        <v>'ALL JOBS'!F35</v>
      </c>
      <c r="AJ29" s="20" t="b">
        <f ca="1">(OR(INDIRECT(L29)=MAX('ALL JOBS'!A:A),AJ28))</f>
        <v>0</v>
      </c>
    </row>
    <row r="30" spans="1:36" ht="30" customHeight="1">
      <c r="A30" s="20">
        <f t="shared" ca="1" si="32"/>
        <v>33</v>
      </c>
      <c r="B30" s="17" t="str">
        <f t="shared" ca="1" si="33"/>
        <v>Repair front door before painting</v>
      </c>
      <c r="C30" s="18">
        <f t="shared" ca="1" si="34"/>
        <v>1</v>
      </c>
      <c r="D30" s="18" t="str">
        <f t="shared" ca="1" si="35"/>
        <v>Hull &amp; Structure</v>
      </c>
      <c r="E30" s="18" t="str">
        <f t="shared" ca="1" si="36"/>
        <v>PB/SB</v>
      </c>
      <c r="F30" s="19">
        <f t="shared" ca="1" si="37"/>
        <v>40</v>
      </c>
      <c r="G30" s="20" t="str">
        <f ca="1">IF($C$1="ALL",IF(INDIRECT(AH30)="","",IF(INDIRECT(AG30)&gt;MAX(Budget!$B$3,Budget!$E$3),"","Y")),IF(ISERR(FIND($C$1,INDIRECT(AH30))),"",IF(INDIRECT(AG30)&gt;MAX(Budget!$B$3,Budget!$E$3),"","Y")))</f>
        <v>Y</v>
      </c>
      <c r="H30" s="20">
        <f t="shared" si="38"/>
        <v>30</v>
      </c>
      <c r="I30" s="20">
        <f t="shared" ca="1" si="39"/>
        <v>39</v>
      </c>
      <c r="J30" s="20">
        <f t="shared" ca="1" si="40"/>
        <v>39</v>
      </c>
      <c r="K30" s="20" t="str">
        <f ca="1">CONCATENATE("G",J29+1,":I",'ALL JOBS'!$K$9)</f>
        <v>G39:I56</v>
      </c>
      <c r="L30" s="20" t="str">
        <f t="shared" ca="1" si="14"/>
        <v>'ALL JOBS'!A45</v>
      </c>
      <c r="M30" s="20" t="str">
        <f t="shared" ca="1" si="3"/>
        <v>'ALL JOBS'!B45</v>
      </c>
      <c r="N30" s="20" t="str">
        <f t="shared" ca="1" si="4"/>
        <v>'ALL JOBS'!D45</v>
      </c>
      <c r="O30" s="20" t="str">
        <f t="shared" ca="1" si="5"/>
        <v>'ALL JOBS'!E45</v>
      </c>
      <c r="P30" s="20" t="str">
        <f t="shared" ca="1" si="6"/>
        <v>'ALL JOBS'!F45</v>
      </c>
      <c r="Q30" s="20" t="str">
        <f t="shared" ca="1" si="7"/>
        <v>'ALL JOBS'!G45</v>
      </c>
      <c r="R30" s="20" t="str">
        <f t="shared" ca="1" si="8"/>
        <v>'ALL JOBS'!D45</v>
      </c>
      <c r="S30" s="18" t="str">
        <f t="shared" ca="1" si="41"/>
        <v>Y</v>
      </c>
      <c r="T30" s="21" t="str">
        <f>IF($C$1="ALL",IF('ALL JOBS'!F36="","",IF('ALL JOBS'!D36&lt;=Budget!$B$3,"","Y")),IF(ISERR(FIND($C$1,'ALL JOBS'!F36)),IF($E$1="","",IF(ISERR(FIND($E$1,'ALL JOBS'!F36)),"",IF('ALL JOBS'!D36&lt;=Budget!$B$3,"","Y"))),IF('ALL JOBS'!D36&lt;=Budget!$B$3,"","Y")))</f>
        <v/>
      </c>
      <c r="U30" s="20">
        <f t="shared" si="42"/>
        <v>30</v>
      </c>
      <c r="V30" s="20">
        <f t="shared" ca="1" si="43"/>
        <v>2</v>
      </c>
      <c r="W30" s="20" t="str">
        <f t="shared" ca="1" si="44"/>
        <v>T3:U72</v>
      </c>
      <c r="X30" s="20" t="str">
        <f t="shared" ca="1" si="15"/>
        <v>'ALL JOBS'!A8</v>
      </c>
      <c r="Y30" s="20" t="str">
        <f t="shared" ca="1" si="9"/>
        <v>'ALL JOBS'!B8</v>
      </c>
      <c r="Z30" s="20" t="str">
        <f t="shared" ca="1" si="10"/>
        <v>'ALL JOBS'!D8</v>
      </c>
      <c r="AA30" s="20" t="str">
        <f t="shared" ca="1" si="11"/>
        <v>'ALL JOBS'!E8</v>
      </c>
      <c r="AB30" s="20" t="str">
        <f t="shared" ca="1" si="16"/>
        <v>'ALL JOBS'!F8</v>
      </c>
      <c r="AC30" s="20" t="str">
        <f t="shared" ca="1" si="12"/>
        <v>'ALL JOBS'!G8</v>
      </c>
      <c r="AD30" s="20" t="str">
        <f t="shared" ca="1" si="13"/>
        <v>'ALL JOBS'!D45</v>
      </c>
      <c r="AE30" s="20" t="str">
        <f t="shared" ca="1" si="45"/>
        <v/>
      </c>
      <c r="AF30" s="20">
        <f t="shared" ca="1" si="46"/>
        <v>27</v>
      </c>
      <c r="AG30" s="20" t="str">
        <f t="shared" si="47"/>
        <v>'ALL JOBS'!D36</v>
      </c>
      <c r="AH30" s="20" t="str">
        <f t="shared" si="48"/>
        <v>'ALL JOBS'!F36</v>
      </c>
      <c r="AJ30" s="20" t="b">
        <f ca="1">(OR(INDIRECT(L30)=MAX('ALL JOBS'!A:A),AJ29))</f>
        <v>0</v>
      </c>
    </row>
    <row r="31" spans="1:36" ht="30" customHeight="1">
      <c r="A31" s="20">
        <f t="shared" ca="1" si="32"/>
        <v>34</v>
      </c>
      <c r="B31" s="17" t="str">
        <f t="shared" ca="1" si="33"/>
        <v>Permanent solution to collapsed boiler chimney</v>
      </c>
      <c r="C31" s="18">
        <f t="shared" ca="1" si="34"/>
        <v>1</v>
      </c>
      <c r="D31" s="18" t="str">
        <f t="shared" ca="1" si="35"/>
        <v>Hull &amp; Structure</v>
      </c>
      <c r="E31" s="18" t="str">
        <f t="shared" ca="1" si="36"/>
        <v>Danny</v>
      </c>
      <c r="F31" s="19">
        <f t="shared" ca="1" si="37"/>
        <v>20</v>
      </c>
      <c r="G31" s="20" t="str">
        <f ca="1">IF($C$1="ALL",IF(INDIRECT(AH31)="","",IF(INDIRECT(AG31)&gt;MAX(Budget!$B$3,Budget!$E$3),"","Y")),IF(ISERR(FIND($C$1,INDIRECT(AH31))),"",IF(INDIRECT(AG31)&gt;MAX(Budget!$B$3,Budget!$E$3),"","Y")))</f>
        <v>Y</v>
      </c>
      <c r="H31" s="20">
        <f t="shared" si="38"/>
        <v>31</v>
      </c>
      <c r="I31" s="20">
        <f t="shared" ca="1" si="39"/>
        <v>40</v>
      </c>
      <c r="J31" s="20">
        <f t="shared" ca="1" si="40"/>
        <v>40</v>
      </c>
      <c r="K31" s="20" t="str">
        <f ca="1">CONCATENATE("G",J30+1,":I",'ALL JOBS'!$K$9)</f>
        <v>G40:I56</v>
      </c>
      <c r="L31" s="20" t="str">
        <f t="shared" ca="1" si="14"/>
        <v>'ALL JOBS'!A46</v>
      </c>
      <c r="M31" s="20" t="str">
        <f t="shared" ca="1" si="3"/>
        <v>'ALL JOBS'!B46</v>
      </c>
      <c r="N31" s="20" t="str">
        <f t="shared" ca="1" si="4"/>
        <v>'ALL JOBS'!D46</v>
      </c>
      <c r="O31" s="20" t="str">
        <f t="shared" ca="1" si="5"/>
        <v>'ALL JOBS'!E46</v>
      </c>
      <c r="P31" s="20" t="str">
        <f t="shared" ca="1" si="6"/>
        <v>'ALL JOBS'!F46</v>
      </c>
      <c r="Q31" s="20" t="str">
        <f t="shared" ca="1" si="7"/>
        <v>'ALL JOBS'!G46</v>
      </c>
      <c r="R31" s="20" t="str">
        <f t="shared" ca="1" si="8"/>
        <v>'ALL JOBS'!D46</v>
      </c>
      <c r="S31" s="18" t="str">
        <f t="shared" ca="1" si="41"/>
        <v>Y</v>
      </c>
      <c r="T31" s="21" t="str">
        <f>IF($C$1="ALL",IF('ALL JOBS'!F37="","",IF('ALL JOBS'!D37&lt;=Budget!$B$3,"","Y")),IF(ISERR(FIND($C$1,'ALL JOBS'!F37)),IF($E$1="","",IF(ISERR(FIND($E$1,'ALL JOBS'!F37)),"",IF('ALL JOBS'!D37&lt;=Budget!$B$3,"","Y"))),IF('ALL JOBS'!D37&lt;=Budget!$B$3,"","Y")))</f>
        <v/>
      </c>
      <c r="U31" s="20">
        <f t="shared" si="42"/>
        <v>31</v>
      </c>
      <c r="V31" s="20">
        <f t="shared" ca="1" si="43"/>
        <v>2</v>
      </c>
      <c r="W31" s="20" t="str">
        <f t="shared" ca="1" si="44"/>
        <v>T3:U72</v>
      </c>
      <c r="X31" s="20" t="str">
        <f t="shared" ca="1" si="15"/>
        <v>'ALL JOBS'!A8</v>
      </c>
      <c r="Y31" s="20" t="str">
        <f t="shared" ca="1" si="9"/>
        <v>'ALL JOBS'!B8</v>
      </c>
      <c r="Z31" s="20" t="str">
        <f t="shared" ca="1" si="10"/>
        <v>'ALL JOBS'!D8</v>
      </c>
      <c r="AA31" s="20" t="str">
        <f t="shared" ca="1" si="11"/>
        <v>'ALL JOBS'!E8</v>
      </c>
      <c r="AB31" s="20" t="str">
        <f t="shared" ca="1" si="16"/>
        <v>'ALL JOBS'!F8</v>
      </c>
      <c r="AC31" s="20" t="str">
        <f t="shared" ca="1" si="12"/>
        <v>'ALL JOBS'!G8</v>
      </c>
      <c r="AD31" s="20" t="str">
        <f t="shared" ca="1" si="13"/>
        <v>'ALL JOBS'!D46</v>
      </c>
      <c r="AE31" s="20" t="str">
        <f t="shared" ca="1" si="45"/>
        <v/>
      </c>
      <c r="AF31" s="20">
        <f t="shared" ca="1" si="46"/>
        <v>28</v>
      </c>
      <c r="AG31" s="20" t="str">
        <f t="shared" si="47"/>
        <v>'ALL JOBS'!D37</v>
      </c>
      <c r="AH31" s="20" t="str">
        <f t="shared" si="48"/>
        <v>'ALL JOBS'!F37</v>
      </c>
      <c r="AJ31" s="20" t="b">
        <f ca="1">(OR(INDIRECT(L31)=MAX('ALL JOBS'!A:A),AJ30))</f>
        <v>0</v>
      </c>
    </row>
    <row r="32" spans="1:36" ht="30" customHeight="1">
      <c r="A32" s="20">
        <f t="shared" ca="1" si="32"/>
        <v>35</v>
      </c>
      <c r="B32" s="17" t="str">
        <f t="shared" ca="1" si="33"/>
        <v xml:space="preserve">Resolve water leak at front radiator vent pipe </v>
      </c>
      <c r="C32" s="18">
        <f t="shared" ca="1" si="34"/>
        <v>1</v>
      </c>
      <c r="D32" s="18" t="str">
        <f t="shared" ca="1" si="35"/>
        <v>Plumbing</v>
      </c>
      <c r="E32" s="18" t="str">
        <f t="shared" ca="1" si="36"/>
        <v>DRK</v>
      </c>
      <c r="F32" s="19">
        <f t="shared" ca="1" si="37"/>
        <v>20</v>
      </c>
      <c r="G32" s="20" t="str">
        <f ca="1">IF($C$1="ALL",IF(INDIRECT(AH32)="","",IF(INDIRECT(AG32)&gt;MAX(Budget!$B$3,Budget!$E$3),"","Y")),IF(ISERR(FIND($C$1,INDIRECT(AH32))),"",IF(INDIRECT(AG32)&gt;MAX(Budget!$B$3,Budget!$E$3),"","Y")))</f>
        <v/>
      </c>
      <c r="H32" s="20">
        <f t="shared" si="38"/>
        <v>32</v>
      </c>
      <c r="I32" s="20">
        <f t="shared" ca="1" si="39"/>
        <v>41</v>
      </c>
      <c r="J32" s="20">
        <f t="shared" ca="1" si="40"/>
        <v>41</v>
      </c>
      <c r="K32" s="20" t="str">
        <f ca="1">CONCATENATE("G",J31+1,":I",'ALL JOBS'!$K$9)</f>
        <v>G41:I56</v>
      </c>
      <c r="L32" s="20" t="str">
        <f t="shared" ca="1" si="14"/>
        <v>'ALL JOBS'!A47</v>
      </c>
      <c r="M32" s="20" t="str">
        <f t="shared" ca="1" si="3"/>
        <v>'ALL JOBS'!B47</v>
      </c>
      <c r="N32" s="20" t="str">
        <f t="shared" ca="1" si="4"/>
        <v>'ALL JOBS'!D47</v>
      </c>
      <c r="O32" s="20" t="str">
        <f t="shared" ca="1" si="5"/>
        <v>'ALL JOBS'!E47</v>
      </c>
      <c r="P32" s="20" t="str">
        <f t="shared" ca="1" si="6"/>
        <v>'ALL JOBS'!F47</v>
      </c>
      <c r="Q32" s="20" t="str">
        <f t="shared" ca="1" si="7"/>
        <v>'ALL JOBS'!G47</v>
      </c>
      <c r="R32" s="20" t="str">
        <f t="shared" ca="1" si="8"/>
        <v>'ALL JOBS'!D47</v>
      </c>
      <c r="S32" s="18" t="str">
        <f t="shared" ca="1" si="41"/>
        <v>Y</v>
      </c>
      <c r="T32" s="21" t="str">
        <f>IF($C$1="ALL",IF('ALL JOBS'!F38="","",IF('ALL JOBS'!D38&lt;=Budget!$B$3,"","Y")),IF(ISERR(FIND($C$1,'ALL JOBS'!F38)),IF($E$1="","",IF(ISERR(FIND($E$1,'ALL JOBS'!F38)),"",IF('ALL JOBS'!D38&lt;=Budget!$B$3,"","Y"))),IF('ALL JOBS'!D38&lt;=Budget!$B$3,"","Y")))</f>
        <v/>
      </c>
      <c r="U32" s="20">
        <f t="shared" si="42"/>
        <v>32</v>
      </c>
      <c r="V32" s="20">
        <f t="shared" ca="1" si="43"/>
        <v>2</v>
      </c>
      <c r="W32" s="20" t="str">
        <f t="shared" ca="1" si="44"/>
        <v>T3:U72</v>
      </c>
      <c r="X32" s="20" t="str">
        <f t="shared" ca="1" si="15"/>
        <v>'ALL JOBS'!A8</v>
      </c>
      <c r="Y32" s="20" t="str">
        <f t="shared" ca="1" si="9"/>
        <v>'ALL JOBS'!B8</v>
      </c>
      <c r="Z32" s="20" t="str">
        <f t="shared" ca="1" si="10"/>
        <v>'ALL JOBS'!D8</v>
      </c>
      <c r="AA32" s="20" t="str">
        <f t="shared" ca="1" si="11"/>
        <v>'ALL JOBS'!E8</v>
      </c>
      <c r="AB32" s="20" t="str">
        <f t="shared" ca="1" si="16"/>
        <v>'ALL JOBS'!F8</v>
      </c>
      <c r="AC32" s="20" t="str">
        <f t="shared" ca="1" si="12"/>
        <v>'ALL JOBS'!G8</v>
      </c>
      <c r="AD32" s="20" t="str">
        <f t="shared" ca="1" si="13"/>
        <v>'ALL JOBS'!D47</v>
      </c>
      <c r="AE32" s="20" t="str">
        <f t="shared" ca="1" si="45"/>
        <v/>
      </c>
      <c r="AF32" s="20">
        <f t="shared" ca="1" si="46"/>
        <v>29</v>
      </c>
      <c r="AG32" s="20" t="str">
        <f t="shared" si="47"/>
        <v>'ALL JOBS'!D38</v>
      </c>
      <c r="AH32" s="20" t="str">
        <f t="shared" si="48"/>
        <v>'ALL JOBS'!F38</v>
      </c>
      <c r="AJ32" s="20" t="b">
        <f ca="1">(OR(INDIRECT(L32)=MAX('ALL JOBS'!A:A),AJ31))</f>
        <v>0</v>
      </c>
    </row>
    <row r="33" spans="1:36" ht="30" customHeight="1">
      <c r="A33" s="20">
        <f t="shared" ca="1" si="32"/>
        <v>36</v>
      </c>
      <c r="B33" s="17" t="str">
        <f t="shared" ca="1" si="33"/>
        <v>Monitor water pump voltage problem</v>
      </c>
      <c r="C33" s="18">
        <f t="shared" ca="1" si="34"/>
        <v>2</v>
      </c>
      <c r="D33" s="18" t="str">
        <f t="shared" ca="1" si="35"/>
        <v>Electrics</v>
      </c>
      <c r="E33" s="18" t="str">
        <f t="shared" ca="1" si="36"/>
        <v>DRK/PB</v>
      </c>
      <c r="F33" s="19">
        <f t="shared" ca="1" si="37"/>
        <v>0</v>
      </c>
      <c r="G33" s="20" t="str">
        <f ca="1">IF($C$1="ALL",IF(INDIRECT(AH33)="","",IF(INDIRECT(AG33)&gt;MAX(Budget!$B$3,Budget!$E$3),"","Y")),IF(ISERR(FIND($C$1,INDIRECT(AH33))),"",IF(INDIRECT(AG33)&gt;MAX(Budget!$B$3,Budget!$E$3),"","Y")))</f>
        <v/>
      </c>
      <c r="H33" s="20">
        <f t="shared" si="38"/>
        <v>33</v>
      </c>
      <c r="I33" s="20">
        <f t="shared" ca="1" si="39"/>
        <v>42</v>
      </c>
      <c r="J33" s="20">
        <f t="shared" ca="1" si="40"/>
        <v>42</v>
      </c>
      <c r="K33" s="20" t="str">
        <f ca="1">CONCATENATE("G",J32+1,":I",'ALL JOBS'!$K$9)</f>
        <v>G42:I56</v>
      </c>
      <c r="L33" s="20" t="str">
        <f t="shared" ca="1" si="14"/>
        <v>'ALL JOBS'!A48</v>
      </c>
      <c r="M33" s="20" t="str">
        <f t="shared" ca="1" si="3"/>
        <v>'ALL JOBS'!B48</v>
      </c>
      <c r="N33" s="20" t="str">
        <f t="shared" ca="1" si="4"/>
        <v>'ALL JOBS'!D48</v>
      </c>
      <c r="O33" s="20" t="str">
        <f t="shared" ca="1" si="5"/>
        <v>'ALL JOBS'!E48</v>
      </c>
      <c r="P33" s="20" t="str">
        <f t="shared" ca="1" si="6"/>
        <v>'ALL JOBS'!F48</v>
      </c>
      <c r="Q33" s="20" t="str">
        <f t="shared" ca="1" si="7"/>
        <v>'ALL JOBS'!G48</v>
      </c>
      <c r="R33" s="20" t="str">
        <f t="shared" ca="1" si="8"/>
        <v>'ALL JOBS'!D48</v>
      </c>
      <c r="S33" s="18" t="str">
        <f t="shared" ca="1" si="41"/>
        <v>Y</v>
      </c>
      <c r="T33" s="21" t="str">
        <f>IF($C$1="ALL",IF('ALL JOBS'!F39="","",IF('ALL JOBS'!D39&lt;=Budget!$B$3,"","Y")),IF(ISERR(FIND($C$1,'ALL JOBS'!F39)),IF($E$1="","",IF(ISERR(FIND($E$1,'ALL JOBS'!F39)),"",IF('ALL JOBS'!D39&lt;=Budget!$B$3,"","Y"))),IF('ALL JOBS'!D39&lt;=Budget!$B$3,"","Y")))</f>
        <v/>
      </c>
      <c r="U33" s="20">
        <f t="shared" si="42"/>
        <v>33</v>
      </c>
      <c r="V33" s="20">
        <f t="shared" ca="1" si="43"/>
        <v>2</v>
      </c>
      <c r="W33" s="20" t="str">
        <f t="shared" ca="1" si="44"/>
        <v>T3:U72</v>
      </c>
      <c r="X33" s="20" t="str">
        <f t="shared" ca="1" si="15"/>
        <v>'ALL JOBS'!A8</v>
      </c>
      <c r="Y33" s="20" t="str">
        <f t="shared" ca="1" si="9"/>
        <v>'ALL JOBS'!B8</v>
      </c>
      <c r="Z33" s="20" t="str">
        <f t="shared" ca="1" si="10"/>
        <v>'ALL JOBS'!D8</v>
      </c>
      <c r="AA33" s="20" t="str">
        <f t="shared" ca="1" si="11"/>
        <v>'ALL JOBS'!E8</v>
      </c>
      <c r="AB33" s="20" t="str">
        <f t="shared" ca="1" si="16"/>
        <v>'ALL JOBS'!F8</v>
      </c>
      <c r="AC33" s="20" t="str">
        <f t="shared" ca="1" si="12"/>
        <v>'ALL JOBS'!G8</v>
      </c>
      <c r="AD33" s="20" t="str">
        <f t="shared" ca="1" si="13"/>
        <v>'ALL JOBS'!D48</v>
      </c>
      <c r="AE33" s="20" t="str">
        <f t="shared" ca="1" si="45"/>
        <v/>
      </c>
      <c r="AF33" s="20">
        <f t="shared" ca="1" si="46"/>
        <v>30</v>
      </c>
      <c r="AG33" s="20" t="str">
        <f t="shared" si="47"/>
        <v>'ALL JOBS'!D39</v>
      </c>
      <c r="AH33" s="20" t="str">
        <f t="shared" si="48"/>
        <v>'ALL JOBS'!F39</v>
      </c>
      <c r="AJ33" s="20" t="b">
        <f ca="1">(OR(INDIRECT(L33)=MAX('ALL JOBS'!A:A),AJ32))</f>
        <v>0</v>
      </c>
    </row>
    <row r="34" spans="1:36" ht="30" customHeight="1">
      <c r="A34" s="20">
        <f t="shared" ca="1" si="32"/>
        <v>37</v>
      </c>
      <c r="B34" s="17" t="str">
        <f t="shared" ca="1" si="33"/>
        <v>Check for water leaks under kitchen sink as possible cause of smell</v>
      </c>
      <c r="C34" s="18">
        <f t="shared" ca="1" si="34"/>
        <v>2</v>
      </c>
      <c r="D34" s="18" t="str">
        <f t="shared" ca="1" si="35"/>
        <v>Miscellaneous</v>
      </c>
      <c r="E34" s="18" t="str">
        <f t="shared" ca="1" si="36"/>
        <v>CJ</v>
      </c>
      <c r="F34" s="19">
        <f t="shared" ca="1" si="37"/>
        <v>0</v>
      </c>
      <c r="G34" s="20" t="str">
        <f ca="1">IF($C$1="ALL",IF(INDIRECT(AH34)="","",IF(INDIRECT(AG34)&gt;MAX(Budget!$B$3,Budget!$E$3),"","Y")),IF(ISERR(FIND($C$1,INDIRECT(AH34))),"",IF(INDIRECT(AG34)&gt;MAX(Budget!$B$3,Budget!$E$3),"","Y")))</f>
        <v>Y</v>
      </c>
      <c r="H34" s="20">
        <f t="shared" si="38"/>
        <v>34</v>
      </c>
      <c r="I34" s="20">
        <f t="shared" ca="1" si="39"/>
        <v>43</v>
      </c>
      <c r="J34" s="20">
        <f t="shared" ca="1" si="40"/>
        <v>43</v>
      </c>
      <c r="K34" s="20" t="str">
        <f ca="1">CONCATENATE("G",J33+1,":I",'ALL JOBS'!$K$9)</f>
        <v>G43:I56</v>
      </c>
      <c r="L34" s="20" t="str">
        <f t="shared" ca="1" si="14"/>
        <v>'ALL JOBS'!A49</v>
      </c>
      <c r="M34" s="20" t="str">
        <f t="shared" ca="1" si="3"/>
        <v>'ALL JOBS'!B49</v>
      </c>
      <c r="N34" s="20" t="str">
        <f t="shared" ca="1" si="4"/>
        <v>'ALL JOBS'!D49</v>
      </c>
      <c r="O34" s="20" t="str">
        <f t="shared" ca="1" si="5"/>
        <v>'ALL JOBS'!E49</v>
      </c>
      <c r="P34" s="20" t="str">
        <f t="shared" ca="1" si="6"/>
        <v>'ALL JOBS'!F49</v>
      </c>
      <c r="Q34" s="20" t="str">
        <f t="shared" ca="1" si="7"/>
        <v>'ALL JOBS'!G49</v>
      </c>
      <c r="R34" s="20" t="str">
        <f t="shared" ca="1" si="8"/>
        <v>'ALL JOBS'!D49</v>
      </c>
      <c r="S34" s="18" t="str">
        <f t="shared" ca="1" si="41"/>
        <v>Y</v>
      </c>
      <c r="T34" s="21" t="str">
        <f>IF($C$1="ALL",IF('ALL JOBS'!F40="","",IF('ALL JOBS'!D40&lt;=Budget!$B$3,"","Y")),IF(ISERR(FIND($C$1,'ALL JOBS'!F40)),IF($E$1="","",IF(ISERR(FIND($E$1,'ALL JOBS'!F40)),"",IF('ALL JOBS'!D40&lt;=Budget!$B$3,"","Y"))),IF('ALL JOBS'!D40&lt;=Budget!$B$3,"","Y")))</f>
        <v/>
      </c>
      <c r="U34" s="20">
        <f t="shared" si="42"/>
        <v>34</v>
      </c>
      <c r="V34" s="20">
        <f t="shared" ca="1" si="43"/>
        <v>2</v>
      </c>
      <c r="W34" s="20" t="str">
        <f t="shared" ca="1" si="44"/>
        <v>T3:U72</v>
      </c>
      <c r="X34" s="20" t="str">
        <f t="shared" ca="1" si="15"/>
        <v>'ALL JOBS'!A8</v>
      </c>
      <c r="Y34" s="20" t="str">
        <f t="shared" ca="1" si="9"/>
        <v>'ALL JOBS'!B8</v>
      </c>
      <c r="Z34" s="20" t="str">
        <f t="shared" ca="1" si="10"/>
        <v>'ALL JOBS'!D8</v>
      </c>
      <c r="AA34" s="20" t="str">
        <f t="shared" ca="1" si="11"/>
        <v>'ALL JOBS'!E8</v>
      </c>
      <c r="AB34" s="20" t="str">
        <f t="shared" ca="1" si="16"/>
        <v>'ALL JOBS'!F8</v>
      </c>
      <c r="AC34" s="20" t="str">
        <f t="shared" ca="1" si="12"/>
        <v>'ALL JOBS'!G8</v>
      </c>
      <c r="AD34" s="20" t="str">
        <f t="shared" ca="1" si="13"/>
        <v>'ALL JOBS'!D49</v>
      </c>
      <c r="AE34" s="20" t="str">
        <f t="shared" ca="1" si="45"/>
        <v/>
      </c>
      <c r="AF34" s="20">
        <f t="shared" ca="1" si="46"/>
        <v>31</v>
      </c>
      <c r="AG34" s="20" t="str">
        <f t="shared" si="47"/>
        <v>'ALL JOBS'!D40</v>
      </c>
      <c r="AH34" s="20" t="str">
        <f t="shared" si="48"/>
        <v>'ALL JOBS'!F40</v>
      </c>
      <c r="AJ34" s="20" t="b">
        <f ca="1">(OR(INDIRECT(L34)=MAX('ALL JOBS'!A:A),AJ33))</f>
        <v>0</v>
      </c>
    </row>
    <row r="35" spans="1:36" ht="30" customHeight="1">
      <c r="A35" s="20">
        <f t="shared" ca="1" si="32"/>
        <v>38</v>
      </c>
      <c r="B35" s="17" t="str">
        <f t="shared" ca="1" si="33"/>
        <v>Replace  fenders</v>
      </c>
      <c r="C35" s="18">
        <f t="shared" ca="1" si="34"/>
        <v>2</v>
      </c>
      <c r="D35" s="18" t="str">
        <f t="shared" ca="1" si="35"/>
        <v>Miscellaneous</v>
      </c>
      <c r="E35" s="18" t="str">
        <f t="shared" ca="1" si="36"/>
        <v>DA/JWD</v>
      </c>
      <c r="F35" s="19">
        <f t="shared" ca="1" si="37"/>
        <v>250</v>
      </c>
      <c r="G35" s="20" t="str">
        <f ca="1">IF($C$1="ALL",IF(INDIRECT(AH35)="","",IF(INDIRECT(AG35)&gt;MAX(Budget!$B$3,Budget!$E$3),"","Y")),IF(ISERR(FIND($C$1,INDIRECT(AH35))),"",IF(INDIRECT(AG35)&gt;MAX(Budget!$B$3,Budget!$E$3),"","Y")))</f>
        <v/>
      </c>
      <c r="H35" s="20">
        <f t="shared" si="38"/>
        <v>35</v>
      </c>
      <c r="I35" s="20">
        <f t="shared" ca="1" si="39"/>
        <v>44</v>
      </c>
      <c r="J35" s="20">
        <f t="shared" ca="1" si="40"/>
        <v>44</v>
      </c>
      <c r="K35" s="20" t="str">
        <f ca="1">CONCATENATE("G",J34+1,":I",'ALL JOBS'!$K$9)</f>
        <v>G44:I56</v>
      </c>
      <c r="L35" s="20" t="str">
        <f t="shared" ca="1" si="14"/>
        <v>'ALL JOBS'!A50</v>
      </c>
      <c r="M35" s="20" t="str">
        <f t="shared" ca="1" si="3"/>
        <v>'ALL JOBS'!B50</v>
      </c>
      <c r="N35" s="20" t="str">
        <f t="shared" ca="1" si="4"/>
        <v>'ALL JOBS'!D50</v>
      </c>
      <c r="O35" s="20" t="str">
        <f t="shared" ca="1" si="5"/>
        <v>'ALL JOBS'!E50</v>
      </c>
      <c r="P35" s="20" t="str">
        <f t="shared" ca="1" si="6"/>
        <v>'ALL JOBS'!F50</v>
      </c>
      <c r="Q35" s="20" t="str">
        <f t="shared" ca="1" si="7"/>
        <v>'ALL JOBS'!G50</v>
      </c>
      <c r="R35" s="20" t="str">
        <f t="shared" ca="1" si="8"/>
        <v>'ALL JOBS'!D50</v>
      </c>
      <c r="S35" s="18" t="str">
        <f t="shared" ca="1" si="41"/>
        <v>Y</v>
      </c>
      <c r="T35" s="21" t="str">
        <f>IF($C$1="ALL",IF('ALL JOBS'!F41="","",IF('ALL JOBS'!D41&lt;=Budget!$B$3,"","Y")),IF(ISERR(FIND($C$1,'ALL JOBS'!F41)),IF($E$1="","",IF(ISERR(FIND($E$1,'ALL JOBS'!F41)),"",IF('ALL JOBS'!D41&lt;=Budget!$B$3,"","Y"))),IF('ALL JOBS'!D41&lt;=Budget!$B$3,"","Y")))</f>
        <v/>
      </c>
      <c r="U35" s="20">
        <f t="shared" si="42"/>
        <v>35</v>
      </c>
      <c r="V35" s="20">
        <f t="shared" ca="1" si="43"/>
        <v>2</v>
      </c>
      <c r="W35" s="20" t="str">
        <f t="shared" ca="1" si="44"/>
        <v>T3:U72</v>
      </c>
      <c r="X35" s="20" t="str">
        <f t="shared" ca="1" si="15"/>
        <v>'ALL JOBS'!A8</v>
      </c>
      <c r="Y35" s="20" t="str">
        <f t="shared" ca="1" si="9"/>
        <v>'ALL JOBS'!B8</v>
      </c>
      <c r="Z35" s="20" t="str">
        <f t="shared" ca="1" si="10"/>
        <v>'ALL JOBS'!D8</v>
      </c>
      <c r="AA35" s="20" t="str">
        <f t="shared" ca="1" si="11"/>
        <v>'ALL JOBS'!E8</v>
      </c>
      <c r="AB35" s="20" t="str">
        <f t="shared" ca="1" si="16"/>
        <v>'ALL JOBS'!F8</v>
      </c>
      <c r="AC35" s="20" t="str">
        <f t="shared" ca="1" si="12"/>
        <v>'ALL JOBS'!G8</v>
      </c>
      <c r="AD35" s="20" t="str">
        <f t="shared" ca="1" si="13"/>
        <v>'ALL JOBS'!D50</v>
      </c>
      <c r="AE35" s="20" t="str">
        <f t="shared" ca="1" si="45"/>
        <v/>
      </c>
      <c r="AF35" s="20">
        <f t="shared" ca="1" si="46"/>
        <v>32</v>
      </c>
      <c r="AG35" s="20" t="str">
        <f t="shared" si="47"/>
        <v>'ALL JOBS'!D41</v>
      </c>
      <c r="AH35" s="20" t="str">
        <f t="shared" si="48"/>
        <v>'ALL JOBS'!F41</v>
      </c>
      <c r="AJ35" s="20" t="b">
        <f ca="1">(OR(INDIRECT(L35)=MAX('ALL JOBS'!A:A),AJ34))</f>
        <v>0</v>
      </c>
    </row>
    <row r="36" spans="1:36" ht="30" customHeight="1">
      <c r="A36" s="20">
        <f t="shared" ca="1" si="32"/>
        <v>39</v>
      </c>
      <c r="B36" s="17" t="str">
        <f t="shared" ca="1" si="33"/>
        <v xml:space="preserve">Shelving in dining area - wire stops, </v>
      </c>
      <c r="C36" s="18">
        <f t="shared" ca="1" si="34"/>
        <v>3</v>
      </c>
      <c r="D36" s="18" t="str">
        <f t="shared" ca="1" si="35"/>
        <v>Joinery</v>
      </c>
      <c r="E36" s="18" t="str">
        <f t="shared" ca="1" si="36"/>
        <v>DA</v>
      </c>
      <c r="F36" s="19">
        <f t="shared" ca="1" si="37"/>
        <v>5</v>
      </c>
      <c r="G36" s="20" t="str">
        <f ca="1">IF($C$1="ALL",IF(INDIRECT(AH36)="","",IF(INDIRECT(AG36)&gt;MAX(Budget!$B$3,Budget!$E$3),"","Y")),IF(ISERR(FIND($C$1,INDIRECT(AH36))),"",IF(INDIRECT(AG36)&gt;MAX(Budget!$B$3,Budget!$E$3),"","Y")))</f>
        <v>Y</v>
      </c>
      <c r="H36" s="20">
        <f t="shared" si="38"/>
        <v>36</v>
      </c>
      <c r="I36" s="20">
        <f t="shared" ca="1" si="39"/>
        <v>45</v>
      </c>
      <c r="J36" s="20">
        <f t="shared" ca="1" si="40"/>
        <v>45</v>
      </c>
      <c r="K36" s="20" t="str">
        <f ca="1">CONCATENATE("G",J35+1,":I",'ALL JOBS'!$K$9)</f>
        <v>G45:I56</v>
      </c>
      <c r="L36" s="20" t="str">
        <f t="shared" ca="1" si="14"/>
        <v>'ALL JOBS'!A51</v>
      </c>
      <c r="M36" s="20" t="str">
        <f t="shared" ca="1" si="3"/>
        <v>'ALL JOBS'!B51</v>
      </c>
      <c r="N36" s="20" t="str">
        <f t="shared" ca="1" si="4"/>
        <v>'ALL JOBS'!D51</v>
      </c>
      <c r="O36" s="20" t="str">
        <f t="shared" ca="1" si="5"/>
        <v>'ALL JOBS'!E51</v>
      </c>
      <c r="P36" s="20" t="str">
        <f t="shared" ca="1" si="6"/>
        <v>'ALL JOBS'!F51</v>
      </c>
      <c r="Q36" s="20" t="str">
        <f t="shared" ca="1" si="7"/>
        <v>'ALL JOBS'!G51</v>
      </c>
      <c r="R36" s="20" t="str">
        <f t="shared" ca="1" si="8"/>
        <v>'ALL JOBS'!D51</v>
      </c>
      <c r="S36" s="18" t="str">
        <f t="shared" ca="1" si="41"/>
        <v>Y</v>
      </c>
      <c r="T36" s="21" t="str">
        <f>IF($C$1="ALL",IF('ALL JOBS'!F42="","",IF('ALL JOBS'!D42&lt;=Budget!$B$3,"","Y")),IF(ISERR(FIND($C$1,'ALL JOBS'!F42)),IF($E$1="","",IF(ISERR(FIND($E$1,'ALL JOBS'!F42)),"",IF('ALL JOBS'!D42&lt;=Budget!$B$3,"","Y"))),IF('ALL JOBS'!D42&lt;=Budget!$B$3,"","Y")))</f>
        <v/>
      </c>
      <c r="U36" s="20">
        <f t="shared" si="42"/>
        <v>36</v>
      </c>
      <c r="V36" s="20">
        <f t="shared" ca="1" si="43"/>
        <v>2</v>
      </c>
      <c r="W36" s="20" t="str">
        <f t="shared" ca="1" si="44"/>
        <v>T3:U72</v>
      </c>
      <c r="X36" s="20" t="str">
        <f t="shared" ca="1" si="15"/>
        <v>'ALL JOBS'!A8</v>
      </c>
      <c r="Y36" s="20" t="str">
        <f t="shared" ca="1" si="9"/>
        <v>'ALL JOBS'!B8</v>
      </c>
      <c r="Z36" s="20" t="str">
        <f t="shared" ca="1" si="10"/>
        <v>'ALL JOBS'!D8</v>
      </c>
      <c r="AA36" s="20" t="str">
        <f t="shared" ca="1" si="11"/>
        <v>'ALL JOBS'!E8</v>
      </c>
      <c r="AB36" s="20" t="str">
        <f t="shared" ca="1" si="16"/>
        <v>'ALL JOBS'!F8</v>
      </c>
      <c r="AC36" s="20" t="str">
        <f t="shared" ca="1" si="12"/>
        <v>'ALL JOBS'!G8</v>
      </c>
      <c r="AD36" s="20" t="str">
        <f t="shared" ca="1" si="13"/>
        <v>'ALL JOBS'!D51</v>
      </c>
      <c r="AE36" s="20" t="str">
        <f t="shared" ca="1" si="45"/>
        <v/>
      </c>
      <c r="AF36" s="20">
        <f t="shared" ca="1" si="46"/>
        <v>33</v>
      </c>
      <c r="AG36" s="20" t="str">
        <f t="shared" si="47"/>
        <v>'ALL JOBS'!D42</v>
      </c>
      <c r="AH36" s="20" t="str">
        <f t="shared" si="48"/>
        <v>'ALL JOBS'!F42</v>
      </c>
      <c r="AJ36" s="20" t="b">
        <f ca="1">(OR(INDIRECT(L36)=MAX('ALL JOBS'!A:A),AJ35))</f>
        <v>0</v>
      </c>
    </row>
    <row r="37" spans="1:36" ht="30" customHeight="1">
      <c r="A37" s="20">
        <f t="shared" ca="1" si="32"/>
        <v>40</v>
      </c>
      <c r="B37" s="17" t="str">
        <f t="shared" ca="1" si="33"/>
        <v>Replace missing bags for blankets and pillows?</v>
      </c>
      <c r="C37" s="18">
        <f t="shared" ca="1" si="34"/>
        <v>3</v>
      </c>
      <c r="D37" s="18" t="str">
        <f t="shared" ca="1" si="35"/>
        <v>Miscellaneous</v>
      </c>
      <c r="E37" s="18" t="str">
        <f t="shared" ca="1" si="36"/>
        <v>PB</v>
      </c>
      <c r="F37" s="19">
        <f t="shared" ca="1" si="37"/>
        <v>30</v>
      </c>
      <c r="G37" s="20" t="str">
        <f ca="1">IF($C$1="ALL",IF(INDIRECT(AH37)="","",IF(INDIRECT(AG37)&gt;MAX(Budget!$B$3,Budget!$E$3),"","Y")),IF(ISERR(FIND($C$1,INDIRECT(AH37))),"",IF(INDIRECT(AG37)&gt;MAX(Budget!$B$3,Budget!$E$3),"","Y")))</f>
        <v>Y</v>
      </c>
      <c r="H37" s="20">
        <f t="shared" si="38"/>
        <v>37</v>
      </c>
      <c r="I37" s="20">
        <f t="shared" ca="1" si="39"/>
        <v>46</v>
      </c>
      <c r="J37" s="20">
        <f t="shared" ca="1" si="40"/>
        <v>46</v>
      </c>
      <c r="K37" s="20" t="str">
        <f ca="1">CONCATENATE("G",J36+1,":I",'ALL JOBS'!$K$9)</f>
        <v>G46:I56</v>
      </c>
      <c r="L37" s="20" t="str">
        <f t="shared" ca="1" si="14"/>
        <v>'ALL JOBS'!A52</v>
      </c>
      <c r="M37" s="20" t="str">
        <f t="shared" ca="1" si="3"/>
        <v>'ALL JOBS'!B52</v>
      </c>
      <c r="N37" s="20" t="str">
        <f t="shared" ca="1" si="4"/>
        <v>'ALL JOBS'!D52</v>
      </c>
      <c r="O37" s="20" t="str">
        <f t="shared" ca="1" si="5"/>
        <v>'ALL JOBS'!E52</v>
      </c>
      <c r="P37" s="20" t="str">
        <f t="shared" ca="1" si="6"/>
        <v>'ALL JOBS'!F52</v>
      </c>
      <c r="Q37" s="20" t="str">
        <f t="shared" ca="1" si="7"/>
        <v>'ALL JOBS'!G52</v>
      </c>
      <c r="R37" s="20" t="str">
        <f t="shared" ca="1" si="8"/>
        <v>'ALL JOBS'!D52</v>
      </c>
      <c r="S37" s="18" t="str">
        <f t="shared" ca="1" si="41"/>
        <v>Y</v>
      </c>
      <c r="T37" s="21" t="str">
        <f>IF($C$1="ALL",IF('ALL JOBS'!F43="","",IF('ALL JOBS'!D43&lt;=Budget!$B$3,"","Y")),IF(ISERR(FIND($C$1,'ALL JOBS'!F43)),IF($E$1="","",IF(ISERR(FIND($E$1,'ALL JOBS'!F43)),"",IF('ALL JOBS'!D43&lt;=Budget!$B$3,"","Y"))),IF('ALL JOBS'!D43&lt;=Budget!$B$3,"","Y")))</f>
        <v/>
      </c>
      <c r="U37" s="20">
        <f t="shared" si="42"/>
        <v>37</v>
      </c>
      <c r="V37" s="20">
        <f t="shared" ca="1" si="43"/>
        <v>2</v>
      </c>
      <c r="W37" s="20" t="str">
        <f t="shared" ca="1" si="44"/>
        <v>T3:U72</v>
      </c>
      <c r="X37" s="20" t="str">
        <f t="shared" ca="1" si="15"/>
        <v>'ALL JOBS'!A8</v>
      </c>
      <c r="Y37" s="20" t="str">
        <f t="shared" ca="1" si="9"/>
        <v>'ALL JOBS'!B8</v>
      </c>
      <c r="Z37" s="20" t="str">
        <f t="shared" ca="1" si="10"/>
        <v>'ALL JOBS'!D8</v>
      </c>
      <c r="AA37" s="20" t="str">
        <f t="shared" ca="1" si="11"/>
        <v>'ALL JOBS'!E8</v>
      </c>
      <c r="AB37" s="20" t="str">
        <f t="shared" ca="1" si="16"/>
        <v>'ALL JOBS'!F8</v>
      </c>
      <c r="AC37" s="20" t="str">
        <f t="shared" ca="1" si="12"/>
        <v>'ALL JOBS'!G8</v>
      </c>
      <c r="AD37" s="20" t="str">
        <f t="shared" ca="1" si="13"/>
        <v>'ALL JOBS'!D52</v>
      </c>
      <c r="AE37" s="20" t="str">
        <f t="shared" ca="1" si="45"/>
        <v/>
      </c>
      <c r="AF37" s="20">
        <f t="shared" ca="1" si="46"/>
        <v>34</v>
      </c>
      <c r="AG37" s="20" t="str">
        <f t="shared" si="47"/>
        <v>'ALL JOBS'!D43</v>
      </c>
      <c r="AH37" s="20" t="str">
        <f t="shared" si="48"/>
        <v>'ALL JOBS'!F43</v>
      </c>
      <c r="AJ37" s="20" t="b">
        <f ca="1">(OR(INDIRECT(L37)=MAX('ALL JOBS'!A:A),AJ36))</f>
        <v>0</v>
      </c>
    </row>
    <row r="38" spans="1:36" ht="30" customHeight="1">
      <c r="A38" s="20">
        <f t="shared" ca="1" si="32"/>
        <v>41</v>
      </c>
      <c r="B38" s="17" t="str">
        <f t="shared" ca="1" si="33"/>
        <v>Organize boxes in Boiler Cupboard.  Label boxes with contents, replace failing boxes, put list of contents on back of the door.</v>
      </c>
      <c r="C38" s="18">
        <f t="shared" ca="1" si="34"/>
        <v>3</v>
      </c>
      <c r="D38" s="18" t="str">
        <f t="shared" ca="1" si="35"/>
        <v>Miscellaneous</v>
      </c>
      <c r="E38" s="18" t="str">
        <f t="shared" ca="1" si="36"/>
        <v>DB/SB</v>
      </c>
      <c r="F38" s="19">
        <f t="shared" ca="1" si="37"/>
        <v>0</v>
      </c>
      <c r="G38" s="20" t="str">
        <f ca="1">IF($C$1="ALL",IF(INDIRECT(AH38)="","",IF(INDIRECT(AG38)&gt;MAX(Budget!$B$3,Budget!$E$3),"","Y")),IF(ISERR(FIND($C$1,INDIRECT(AH38))),"",IF(INDIRECT(AG38)&gt;MAX(Budget!$B$3,Budget!$E$3),"","Y")))</f>
        <v>Y</v>
      </c>
      <c r="H38" s="20">
        <f t="shared" si="38"/>
        <v>38</v>
      </c>
      <c r="I38" s="20">
        <f t="shared" ca="1" si="39"/>
        <v>47</v>
      </c>
      <c r="J38" s="20">
        <f t="shared" ca="1" si="40"/>
        <v>47</v>
      </c>
      <c r="K38" s="20" t="str">
        <f ca="1">CONCATENATE("G",J37+1,":I",'ALL JOBS'!$K$9)</f>
        <v>G47:I56</v>
      </c>
      <c r="L38" s="20" t="str">
        <f t="shared" ca="1" si="14"/>
        <v>'ALL JOBS'!A53</v>
      </c>
      <c r="M38" s="20" t="str">
        <f t="shared" ca="1" si="3"/>
        <v>'ALL JOBS'!B53</v>
      </c>
      <c r="N38" s="20" t="str">
        <f t="shared" ca="1" si="4"/>
        <v>'ALL JOBS'!D53</v>
      </c>
      <c r="O38" s="20" t="str">
        <f t="shared" ca="1" si="5"/>
        <v>'ALL JOBS'!E53</v>
      </c>
      <c r="P38" s="20" t="str">
        <f t="shared" ca="1" si="6"/>
        <v>'ALL JOBS'!F53</v>
      </c>
      <c r="Q38" s="20" t="str">
        <f t="shared" ca="1" si="7"/>
        <v>'ALL JOBS'!G53</v>
      </c>
      <c r="R38" s="20" t="str">
        <f t="shared" ca="1" si="8"/>
        <v>'ALL JOBS'!D53</v>
      </c>
      <c r="S38" s="18" t="str">
        <f t="shared" ca="1" si="41"/>
        <v>Y</v>
      </c>
      <c r="T38" s="21" t="str">
        <f>IF($C$1="ALL",IF('ALL JOBS'!F44="","",IF('ALL JOBS'!D44&lt;=Budget!$B$3,"","Y")),IF(ISERR(FIND($C$1,'ALL JOBS'!F44)),IF($E$1="","",IF(ISERR(FIND($E$1,'ALL JOBS'!F44)),"",IF('ALL JOBS'!D44&lt;=Budget!$B$3,"","Y"))),IF('ALL JOBS'!D44&lt;=Budget!$B$3,"","Y")))</f>
        <v/>
      </c>
      <c r="U38" s="20">
        <f t="shared" si="42"/>
        <v>38</v>
      </c>
      <c r="V38" s="20">
        <f t="shared" ca="1" si="43"/>
        <v>2</v>
      </c>
      <c r="W38" s="20" t="str">
        <f t="shared" ca="1" si="44"/>
        <v>T3:U72</v>
      </c>
      <c r="X38" s="20" t="str">
        <f t="shared" ca="1" si="15"/>
        <v>'ALL JOBS'!A8</v>
      </c>
      <c r="Y38" s="20" t="str">
        <f t="shared" ca="1" si="9"/>
        <v>'ALL JOBS'!B8</v>
      </c>
      <c r="Z38" s="20" t="str">
        <f t="shared" ca="1" si="10"/>
        <v>'ALL JOBS'!D8</v>
      </c>
      <c r="AA38" s="20" t="str">
        <f t="shared" ca="1" si="11"/>
        <v>'ALL JOBS'!E8</v>
      </c>
      <c r="AB38" s="20" t="str">
        <f t="shared" ca="1" si="16"/>
        <v>'ALL JOBS'!F8</v>
      </c>
      <c r="AC38" s="20" t="str">
        <f t="shared" ca="1" si="12"/>
        <v>'ALL JOBS'!G8</v>
      </c>
      <c r="AD38" s="20" t="str">
        <f t="shared" ca="1" si="13"/>
        <v>'ALL JOBS'!D53</v>
      </c>
      <c r="AE38" s="20" t="str">
        <f t="shared" ca="1" si="45"/>
        <v/>
      </c>
      <c r="AF38" s="20">
        <f t="shared" ca="1" si="46"/>
        <v>35</v>
      </c>
      <c r="AG38" s="20" t="str">
        <f t="shared" si="47"/>
        <v>'ALL JOBS'!D44</v>
      </c>
      <c r="AH38" s="20" t="str">
        <f t="shared" si="48"/>
        <v>'ALL JOBS'!F44</v>
      </c>
      <c r="AJ38" s="20" t="b">
        <f ca="1">(OR(INDIRECT(L38)=MAX('ALL JOBS'!A:A),AJ37))</f>
        <v>0</v>
      </c>
    </row>
    <row r="39" spans="1:36" ht="30" customHeight="1">
      <c r="A39" s="20">
        <f t="shared" ca="1" si="32"/>
        <v>42</v>
      </c>
      <c r="B39" s="17" t="str">
        <f t="shared" ca="1" si="33"/>
        <v>Replace rubber matting over rear boards</v>
      </c>
      <c r="C39" s="18">
        <f t="shared" ca="1" si="34"/>
        <v>4</v>
      </c>
      <c r="D39" s="18" t="str">
        <f t="shared" ca="1" si="35"/>
        <v>Rear boards</v>
      </c>
      <c r="E39" s="18" t="str">
        <f t="shared" ca="1" si="36"/>
        <v>TM/PB/DB</v>
      </c>
      <c r="F39" s="19">
        <f t="shared" ca="1" si="37"/>
        <v>150</v>
      </c>
      <c r="G39" s="20" t="str">
        <f ca="1">IF($C$1="ALL",IF(INDIRECT(AH39)="","",IF(INDIRECT(AG39)&gt;MAX(Budget!$B$3,Budget!$E$3),"","Y")),IF(ISERR(FIND($C$1,INDIRECT(AH39))),"",IF(INDIRECT(AG39)&gt;MAX(Budget!$B$3,Budget!$E$3),"","Y")))</f>
        <v>Y</v>
      </c>
      <c r="H39" s="20">
        <f t="shared" si="38"/>
        <v>39</v>
      </c>
      <c r="I39" s="20">
        <f t="shared" ca="1" si="39"/>
        <v>48</v>
      </c>
      <c r="J39" s="20">
        <f t="shared" ca="1" si="40"/>
        <v>48</v>
      </c>
      <c r="K39" s="20" t="str">
        <f ca="1">CONCATENATE("G",J38+1,":I",'ALL JOBS'!$K$9)</f>
        <v>G48:I56</v>
      </c>
      <c r="L39" s="20" t="str">
        <f t="shared" ca="1" si="14"/>
        <v>'ALL JOBS'!A54</v>
      </c>
      <c r="M39" s="20" t="str">
        <f t="shared" ca="1" si="3"/>
        <v>'ALL JOBS'!B54</v>
      </c>
      <c r="N39" s="20" t="str">
        <f t="shared" ca="1" si="4"/>
        <v>'ALL JOBS'!D54</v>
      </c>
      <c r="O39" s="20" t="str">
        <f t="shared" ca="1" si="5"/>
        <v>'ALL JOBS'!E54</v>
      </c>
      <c r="P39" s="20" t="str">
        <f t="shared" ca="1" si="6"/>
        <v>'ALL JOBS'!F54</v>
      </c>
      <c r="Q39" s="20" t="str">
        <f t="shared" ca="1" si="7"/>
        <v>'ALL JOBS'!G54</v>
      </c>
      <c r="R39" s="20" t="str">
        <f t="shared" ca="1" si="8"/>
        <v>'ALL JOBS'!D54</v>
      </c>
      <c r="S39" s="18" t="str">
        <f t="shared" ca="1" si="41"/>
        <v>Y</v>
      </c>
      <c r="T39" s="21" t="str">
        <f>IF($C$1="ALL",IF('ALL JOBS'!F45="","",IF('ALL JOBS'!D45&lt;=Budget!$B$3,"","Y")),IF(ISERR(FIND($C$1,'ALL JOBS'!F45)),IF($E$1="","",IF(ISERR(FIND($E$1,'ALL JOBS'!F45)),"",IF('ALL JOBS'!D45&lt;=Budget!$B$3,"","Y"))),IF('ALL JOBS'!D45&lt;=Budget!$B$3,"","Y")))</f>
        <v/>
      </c>
      <c r="U39" s="20">
        <f t="shared" si="42"/>
        <v>39</v>
      </c>
      <c r="V39" s="20">
        <f t="shared" ca="1" si="43"/>
        <v>2</v>
      </c>
      <c r="W39" s="20" t="str">
        <f t="shared" ca="1" si="44"/>
        <v>T3:U72</v>
      </c>
      <c r="X39" s="20" t="str">
        <f t="shared" ca="1" si="15"/>
        <v>'ALL JOBS'!A8</v>
      </c>
      <c r="Y39" s="20" t="str">
        <f t="shared" ca="1" si="9"/>
        <v>'ALL JOBS'!B8</v>
      </c>
      <c r="Z39" s="20" t="str">
        <f t="shared" ca="1" si="10"/>
        <v>'ALL JOBS'!D8</v>
      </c>
      <c r="AA39" s="20" t="str">
        <f t="shared" ca="1" si="11"/>
        <v>'ALL JOBS'!E8</v>
      </c>
      <c r="AB39" s="20" t="str">
        <f t="shared" ca="1" si="16"/>
        <v>'ALL JOBS'!F8</v>
      </c>
      <c r="AC39" s="20" t="str">
        <f t="shared" ca="1" si="12"/>
        <v>'ALL JOBS'!G8</v>
      </c>
      <c r="AD39" s="20" t="str">
        <f t="shared" ca="1" si="13"/>
        <v>'ALL JOBS'!D54</v>
      </c>
      <c r="AE39" s="20" t="str">
        <f t="shared" ca="1" si="45"/>
        <v/>
      </c>
      <c r="AF39" s="20">
        <f t="shared" ca="1" si="46"/>
        <v>36</v>
      </c>
      <c r="AG39" s="20" t="str">
        <f t="shared" si="47"/>
        <v>'ALL JOBS'!D45</v>
      </c>
      <c r="AH39" s="20" t="str">
        <f t="shared" si="48"/>
        <v>'ALL JOBS'!F45</v>
      </c>
      <c r="AJ39" s="20" t="b">
        <f ca="1">(OR(INDIRECT(L39)=MAX('ALL JOBS'!A:A),AJ38))</f>
        <v>0</v>
      </c>
    </row>
    <row r="40" spans="1:36" ht="30" customHeight="1">
      <c r="A40" s="20">
        <f t="shared" ca="1" si="32"/>
        <v>43</v>
      </c>
      <c r="B40" s="17" t="str">
        <f t="shared" ca="1" si="33"/>
        <v xml:space="preserve">Add spotlight option to front headlight.  </v>
      </c>
      <c r="C40" s="18">
        <f t="shared" ca="1" si="34"/>
        <v>5</v>
      </c>
      <c r="D40" s="18" t="str">
        <f t="shared" ca="1" si="35"/>
        <v>Electrics</v>
      </c>
      <c r="E40" s="18" t="str">
        <f t="shared" ca="1" si="36"/>
        <v>PB</v>
      </c>
      <c r="F40" s="19">
        <f t="shared" ca="1" si="37"/>
        <v>50</v>
      </c>
      <c r="G40" s="20" t="str">
        <f ca="1">IF($C$1="ALL",IF(INDIRECT(AH40)="","",IF(INDIRECT(AG40)&gt;MAX(Budget!$B$3,Budget!$E$3),"","Y")),IF(ISERR(FIND($C$1,INDIRECT(AH40))),"",IF(INDIRECT(AG40)&gt;MAX(Budget!$B$3,Budget!$E$3),"","Y")))</f>
        <v>Y</v>
      </c>
      <c r="H40" s="20">
        <f t="shared" si="38"/>
        <v>40</v>
      </c>
      <c r="I40" s="20">
        <f t="shared" ca="1" si="39"/>
        <v>49</v>
      </c>
      <c r="J40" s="20">
        <f t="shared" ca="1" si="40"/>
        <v>49</v>
      </c>
      <c r="K40" s="20" t="str">
        <f ca="1">CONCATENATE("G",J39+1,":I",'ALL JOBS'!$K$9)</f>
        <v>G49:I56</v>
      </c>
      <c r="L40" s="20" t="str">
        <f t="shared" ca="1" si="14"/>
        <v>'ALL JOBS'!A55</v>
      </c>
      <c r="M40" s="20" t="str">
        <f t="shared" ca="1" si="3"/>
        <v>'ALL JOBS'!B55</v>
      </c>
      <c r="N40" s="20" t="str">
        <f t="shared" ca="1" si="4"/>
        <v>'ALL JOBS'!D55</v>
      </c>
      <c r="O40" s="20" t="str">
        <f t="shared" ca="1" si="5"/>
        <v>'ALL JOBS'!E55</v>
      </c>
      <c r="P40" s="20" t="str">
        <f t="shared" ca="1" si="6"/>
        <v>'ALL JOBS'!F55</v>
      </c>
      <c r="Q40" s="20" t="str">
        <f t="shared" ca="1" si="7"/>
        <v>'ALL JOBS'!G55</v>
      </c>
      <c r="R40" s="20" t="str">
        <f t="shared" ca="1" si="8"/>
        <v>'ALL JOBS'!D55</v>
      </c>
      <c r="S40" s="18" t="str">
        <f t="shared" ca="1" si="41"/>
        <v>Y</v>
      </c>
      <c r="T40" s="21" t="str">
        <f>IF($C$1="ALL",IF('ALL JOBS'!F46="","",IF('ALL JOBS'!D46&lt;=Budget!$B$3,"","Y")),IF(ISERR(FIND($C$1,'ALL JOBS'!F46)),IF($E$1="","",IF(ISERR(FIND($E$1,'ALL JOBS'!F46)),"",IF('ALL JOBS'!D46&lt;=Budget!$B$3,"","Y"))),IF('ALL JOBS'!D46&lt;=Budget!$B$3,"","Y")))</f>
        <v/>
      </c>
      <c r="U40" s="20">
        <f t="shared" si="42"/>
        <v>40</v>
      </c>
      <c r="V40" s="20">
        <f t="shared" ca="1" si="43"/>
        <v>2</v>
      </c>
      <c r="W40" s="20" t="str">
        <f t="shared" ca="1" si="44"/>
        <v>T3:U72</v>
      </c>
      <c r="X40" s="20" t="str">
        <f t="shared" ca="1" si="15"/>
        <v>'ALL JOBS'!A8</v>
      </c>
      <c r="Y40" s="20" t="str">
        <f t="shared" ca="1" si="9"/>
        <v>'ALL JOBS'!B8</v>
      </c>
      <c r="Z40" s="20" t="str">
        <f t="shared" ca="1" si="10"/>
        <v>'ALL JOBS'!D8</v>
      </c>
      <c r="AA40" s="20" t="str">
        <f t="shared" ca="1" si="11"/>
        <v>'ALL JOBS'!E8</v>
      </c>
      <c r="AB40" s="20" t="str">
        <f t="shared" ca="1" si="16"/>
        <v>'ALL JOBS'!F8</v>
      </c>
      <c r="AC40" s="20" t="str">
        <f t="shared" ca="1" si="12"/>
        <v>'ALL JOBS'!G8</v>
      </c>
      <c r="AD40" s="20" t="str">
        <f t="shared" ca="1" si="13"/>
        <v>'ALL JOBS'!D55</v>
      </c>
      <c r="AE40" s="20" t="str">
        <f t="shared" ca="1" si="45"/>
        <v/>
      </c>
      <c r="AF40" s="20">
        <f t="shared" ca="1" si="46"/>
        <v>37</v>
      </c>
      <c r="AG40" s="20" t="str">
        <f t="shared" si="47"/>
        <v>'ALL JOBS'!D46</v>
      </c>
      <c r="AH40" s="20" t="str">
        <f t="shared" si="48"/>
        <v>'ALL JOBS'!F46</v>
      </c>
      <c r="AJ40" s="20" t="b">
        <f ca="1">(OR(INDIRECT(L40)=MAX('ALL JOBS'!A:A),AJ39))</f>
        <v>0</v>
      </c>
    </row>
    <row r="41" spans="1:36" ht="30" customHeight="1">
      <c r="A41" s="20">
        <f t="shared" ca="1" si="32"/>
        <v>44</v>
      </c>
      <c r="B41" s="17" t="str">
        <f t="shared" ca="1" si="33"/>
        <v>Lights replacement/upgrade (see list at bottom)</v>
      </c>
      <c r="C41" s="18">
        <f t="shared" ca="1" si="34"/>
        <v>5.9</v>
      </c>
      <c r="D41" s="18" t="str">
        <f t="shared" ca="1" si="35"/>
        <v>Lighting</v>
      </c>
      <c r="E41" s="18" t="str">
        <f t="shared" ca="1" si="36"/>
        <v>DRK</v>
      </c>
      <c r="F41" s="19">
        <f t="shared" ca="1" si="37"/>
        <v>30</v>
      </c>
      <c r="G41" s="20" t="str">
        <f ca="1">IF($C$1="ALL",IF(INDIRECT(AH41)="","",IF(INDIRECT(AG41)&gt;MAX(Budget!$B$3,Budget!$E$3),"","Y")),IF(ISERR(FIND($C$1,INDIRECT(AH41))),"",IF(INDIRECT(AG41)&gt;MAX(Budget!$B$3,Budget!$E$3),"","Y")))</f>
        <v>Y</v>
      </c>
      <c r="H41" s="20">
        <f t="shared" si="38"/>
        <v>41</v>
      </c>
      <c r="I41" s="20">
        <f t="shared" ca="1" si="39"/>
        <v>50</v>
      </c>
      <c r="J41" s="20">
        <f t="shared" ca="1" si="40"/>
        <v>50</v>
      </c>
      <c r="K41" s="20" t="str">
        <f ca="1">CONCATENATE("G",J40+1,":I",'ALL JOBS'!$K$9)</f>
        <v>G50:I56</v>
      </c>
      <c r="L41" s="20" t="str">
        <f t="shared" ca="1" si="14"/>
        <v>'ALL JOBS'!A56</v>
      </c>
      <c r="M41" s="20" t="str">
        <f t="shared" ca="1" si="3"/>
        <v>'ALL JOBS'!B56</v>
      </c>
      <c r="N41" s="20" t="str">
        <f t="shared" ca="1" si="4"/>
        <v>'ALL JOBS'!D56</v>
      </c>
      <c r="O41" s="20" t="str">
        <f t="shared" ca="1" si="5"/>
        <v>'ALL JOBS'!E56</v>
      </c>
      <c r="P41" s="20" t="str">
        <f t="shared" ca="1" si="6"/>
        <v>'ALL JOBS'!F56</v>
      </c>
      <c r="Q41" s="20" t="str">
        <f t="shared" ca="1" si="7"/>
        <v>'ALL JOBS'!G56</v>
      </c>
      <c r="R41" s="20" t="str">
        <f t="shared" ca="1" si="8"/>
        <v>'ALL JOBS'!D56</v>
      </c>
      <c r="S41" s="18" t="str">
        <f t="shared" ca="1" si="41"/>
        <v>Y</v>
      </c>
      <c r="T41" s="21" t="str">
        <f>IF($C$1="ALL",IF('ALL JOBS'!F47="","",IF('ALL JOBS'!D47&lt;=Budget!$B$3,"","Y")),IF(ISERR(FIND($C$1,'ALL JOBS'!F47)),IF($E$1="","",IF(ISERR(FIND($E$1,'ALL JOBS'!F47)),"",IF('ALL JOBS'!D47&lt;=Budget!$B$3,"","Y"))),IF('ALL JOBS'!D47&lt;=Budget!$B$3,"","Y")))</f>
        <v/>
      </c>
      <c r="U41" s="20">
        <f t="shared" si="42"/>
        <v>41</v>
      </c>
      <c r="V41" s="20">
        <f t="shared" ca="1" si="43"/>
        <v>2</v>
      </c>
      <c r="W41" s="20" t="str">
        <f t="shared" ca="1" si="44"/>
        <v>T3:U72</v>
      </c>
      <c r="X41" s="20" t="str">
        <f t="shared" ca="1" si="15"/>
        <v>'ALL JOBS'!A8</v>
      </c>
      <c r="Y41" s="20" t="str">
        <f t="shared" ca="1" si="9"/>
        <v>'ALL JOBS'!B8</v>
      </c>
      <c r="Z41" s="20" t="str">
        <f t="shared" ca="1" si="10"/>
        <v>'ALL JOBS'!D8</v>
      </c>
      <c r="AA41" s="20" t="str">
        <f t="shared" ca="1" si="11"/>
        <v>'ALL JOBS'!E8</v>
      </c>
      <c r="AB41" s="20" t="str">
        <f t="shared" ca="1" si="16"/>
        <v>'ALL JOBS'!F8</v>
      </c>
      <c r="AC41" s="20" t="str">
        <f t="shared" ca="1" si="12"/>
        <v>'ALL JOBS'!G8</v>
      </c>
      <c r="AD41" s="20" t="str">
        <f t="shared" ca="1" si="13"/>
        <v>'ALL JOBS'!D56</v>
      </c>
      <c r="AE41" s="20" t="str">
        <f t="shared" ca="1" si="45"/>
        <v/>
      </c>
      <c r="AF41" s="20">
        <f t="shared" ca="1" si="46"/>
        <v>38</v>
      </c>
      <c r="AG41" s="20" t="str">
        <f t="shared" si="47"/>
        <v>'ALL JOBS'!D47</v>
      </c>
      <c r="AH41" s="20" t="str">
        <f t="shared" si="48"/>
        <v>'ALL JOBS'!F47</v>
      </c>
      <c r="AJ41" s="20" t="b">
        <f ca="1">(OR(INDIRECT(L41)=MAX('ALL JOBS'!A:A),AJ40))</f>
        <v>0</v>
      </c>
    </row>
    <row r="42" spans="1:36" ht="30" customHeight="1">
      <c r="A42" s="20" t="str">
        <f t="shared" ca="1" si="32"/>
        <v/>
      </c>
      <c r="B42" s="17" t="str">
        <f t="shared" ca="1" si="33"/>
        <v/>
      </c>
      <c r="C42" s="18" t="str">
        <f t="shared" ca="1" si="34"/>
        <v/>
      </c>
      <c r="D42" s="18" t="str">
        <f t="shared" ca="1" si="35"/>
        <v/>
      </c>
      <c r="E42" s="18" t="str">
        <f t="shared" ca="1" si="36"/>
        <v/>
      </c>
      <c r="F42" s="19" t="str">
        <f t="shared" ca="1" si="37"/>
        <v/>
      </c>
      <c r="G42" s="20" t="str">
        <f ca="1">IF($C$1="ALL",IF(INDIRECT(AH42)="","",IF(INDIRECT(AG42)&gt;MAX(Budget!$B$3,Budget!$E$3),"","Y")),IF(ISERR(FIND($C$1,INDIRECT(AH42))),"",IF(INDIRECT(AG42)&gt;MAX(Budget!$B$3,Budget!$E$3),"","Y")))</f>
        <v>Y</v>
      </c>
      <c r="H42" s="20">
        <f t="shared" si="38"/>
        <v>42</v>
      </c>
      <c r="I42" s="20" t="e">
        <f t="shared" ca="1" si="39"/>
        <v>#N/A</v>
      </c>
      <c r="J42" s="20" t="e">
        <f t="shared" ca="1" si="40"/>
        <v>#N/A</v>
      </c>
      <c r="K42" s="20" t="str">
        <f ca="1">CONCATENATE("G",J41+1,":I",'ALL JOBS'!$K$9)</f>
        <v>G51:I56</v>
      </c>
      <c r="L42" s="20" t="e">
        <f t="shared" ca="1" si="14"/>
        <v>#N/A</v>
      </c>
      <c r="M42" s="20" t="e">
        <f t="shared" ca="1" si="3"/>
        <v>#N/A</v>
      </c>
      <c r="N42" s="20" t="e">
        <f t="shared" ca="1" si="4"/>
        <v>#N/A</v>
      </c>
      <c r="O42" s="20" t="e">
        <f t="shared" ca="1" si="5"/>
        <v>#N/A</v>
      </c>
      <c r="P42" s="20" t="e">
        <f t="shared" ca="1" si="6"/>
        <v>#N/A</v>
      </c>
      <c r="Q42" s="20" t="e">
        <f t="shared" ca="1" si="7"/>
        <v>#N/A</v>
      </c>
      <c r="R42" s="20" t="e">
        <f t="shared" ca="1" si="8"/>
        <v>#N/A</v>
      </c>
      <c r="S42" s="18" t="str">
        <f t="shared" ca="1" si="41"/>
        <v/>
      </c>
      <c r="T42" s="21" t="str">
        <f>IF($C$1="ALL",IF('ALL JOBS'!F48="","",IF('ALL JOBS'!D48&lt;=Budget!$B$3,"","Y")),IF(ISERR(FIND($C$1,'ALL JOBS'!F48)),IF($E$1="","",IF(ISERR(FIND($E$1,'ALL JOBS'!F48)),"",IF('ALL JOBS'!D48&lt;=Budget!$B$3,"","Y"))),IF('ALL JOBS'!D48&lt;=Budget!$B$3,"","Y")))</f>
        <v/>
      </c>
      <c r="U42" s="20">
        <f t="shared" si="42"/>
        <v>42</v>
      </c>
      <c r="V42" s="20">
        <f t="shared" ca="1" si="43"/>
        <v>2</v>
      </c>
      <c r="W42" s="20" t="str">
        <f t="shared" ca="1" si="44"/>
        <v>T3:U72</v>
      </c>
      <c r="X42" s="20" t="str">
        <f t="shared" ca="1" si="15"/>
        <v>'ALL JOBS'!A8</v>
      </c>
      <c r="Y42" s="20" t="str">
        <f t="shared" ca="1" si="9"/>
        <v>'ALL JOBS'!B8</v>
      </c>
      <c r="Z42" s="20" t="str">
        <f t="shared" ca="1" si="10"/>
        <v>'ALL JOBS'!D8</v>
      </c>
      <c r="AA42" s="20" t="str">
        <f t="shared" ca="1" si="11"/>
        <v>'ALL JOBS'!E8</v>
      </c>
      <c r="AB42" s="20" t="str">
        <f t="shared" ca="1" si="16"/>
        <v>'ALL JOBS'!F8</v>
      </c>
      <c r="AC42" s="20" t="str">
        <f t="shared" ca="1" si="12"/>
        <v>'ALL JOBS'!G8</v>
      </c>
      <c r="AD42" s="20" t="e">
        <f t="shared" ca="1" si="13"/>
        <v>#N/A</v>
      </c>
      <c r="AE42" s="20" t="str">
        <f t="shared" ca="1" si="45"/>
        <v/>
      </c>
      <c r="AF42" s="20" t="str">
        <f t="shared" ca="1" si="46"/>
        <v/>
      </c>
      <c r="AG42" s="20" t="str">
        <f t="shared" si="47"/>
        <v>'ALL JOBS'!D48</v>
      </c>
      <c r="AH42" s="20" t="str">
        <f t="shared" si="48"/>
        <v>'ALL JOBS'!F48</v>
      </c>
      <c r="AJ42" s="20" t="e">
        <f ca="1">(OR(INDIRECT(L42)=MAX('ALL JOBS'!A:A),AJ41))</f>
        <v>#N/A</v>
      </c>
    </row>
    <row r="43" spans="1:36" ht="30" customHeight="1">
      <c r="A43" s="20" t="str">
        <f t="shared" ca="1" si="32"/>
        <v/>
      </c>
      <c r="B43" s="17" t="str">
        <f t="shared" ca="1" si="33"/>
        <v/>
      </c>
      <c r="C43" s="18" t="str">
        <f t="shared" ca="1" si="34"/>
        <v/>
      </c>
      <c r="D43" s="18" t="str">
        <f t="shared" ca="1" si="35"/>
        <v/>
      </c>
      <c r="E43" s="18" t="str">
        <f t="shared" ca="1" si="36"/>
        <v/>
      </c>
      <c r="F43" s="19" t="str">
        <f t="shared" ca="1" si="37"/>
        <v/>
      </c>
      <c r="G43" s="20" t="str">
        <f ca="1">IF($C$1="ALL",IF(INDIRECT(AH43)="","",IF(INDIRECT(AG43)&gt;MAX(Budget!$B$3,Budget!$E$3),"","Y")),IF(ISERR(FIND($C$1,INDIRECT(AH43))),"",IF(INDIRECT(AG43)&gt;MAX(Budget!$B$3,Budget!$E$3),"","Y")))</f>
        <v>Y</v>
      </c>
      <c r="H43" s="20">
        <f t="shared" si="38"/>
        <v>43</v>
      </c>
      <c r="I43" s="20" t="e">
        <f t="shared" ca="1" si="39"/>
        <v>#N/A</v>
      </c>
      <c r="J43" s="20" t="e">
        <f t="shared" ca="1" si="40"/>
        <v>#N/A</v>
      </c>
      <c r="K43" s="20" t="e">
        <f ca="1">CONCATENATE("G",J42+1,":I",'ALL JOBS'!$K$9)</f>
        <v>#N/A</v>
      </c>
      <c r="L43" s="20" t="e">
        <f t="shared" ca="1" si="14"/>
        <v>#N/A</v>
      </c>
      <c r="M43" s="20" t="e">
        <f t="shared" ca="1" si="3"/>
        <v>#N/A</v>
      </c>
      <c r="N43" s="20" t="e">
        <f t="shared" ca="1" si="4"/>
        <v>#N/A</v>
      </c>
      <c r="O43" s="20" t="e">
        <f t="shared" ca="1" si="5"/>
        <v>#N/A</v>
      </c>
      <c r="P43" s="20" t="e">
        <f t="shared" ca="1" si="6"/>
        <v>#N/A</v>
      </c>
      <c r="Q43" s="20" t="e">
        <f t="shared" ca="1" si="7"/>
        <v>#N/A</v>
      </c>
      <c r="R43" s="20" t="e">
        <f t="shared" ca="1" si="8"/>
        <v>#N/A</v>
      </c>
      <c r="S43" s="18" t="str">
        <f t="shared" ca="1" si="41"/>
        <v/>
      </c>
      <c r="T43" s="21" t="str">
        <f>IF($C$1="ALL",IF('ALL JOBS'!F49="","",IF('ALL JOBS'!D49&lt;=Budget!$B$3,"","Y")),IF(ISERR(FIND($C$1,'ALL JOBS'!F49)),IF($E$1="","",IF(ISERR(FIND($E$1,'ALL JOBS'!F49)),"",IF('ALL JOBS'!D49&lt;=Budget!$B$3,"","Y"))),IF('ALL JOBS'!D49&lt;=Budget!$B$3,"","Y")))</f>
        <v/>
      </c>
      <c r="U43" s="20">
        <f t="shared" si="42"/>
        <v>43</v>
      </c>
      <c r="V43" s="20">
        <f t="shared" ca="1" si="43"/>
        <v>2</v>
      </c>
      <c r="W43" s="20" t="str">
        <f t="shared" ca="1" si="44"/>
        <v>T3:U72</v>
      </c>
      <c r="X43" s="20" t="str">
        <f t="shared" ca="1" si="15"/>
        <v>'ALL JOBS'!A8</v>
      </c>
      <c r="Y43" s="20" t="str">
        <f t="shared" ca="1" si="9"/>
        <v>'ALL JOBS'!B8</v>
      </c>
      <c r="Z43" s="20" t="str">
        <f t="shared" ca="1" si="10"/>
        <v>'ALL JOBS'!D8</v>
      </c>
      <c r="AA43" s="20" t="str">
        <f t="shared" ca="1" si="11"/>
        <v>'ALL JOBS'!E8</v>
      </c>
      <c r="AB43" s="20" t="str">
        <f t="shared" ca="1" si="16"/>
        <v>'ALL JOBS'!F8</v>
      </c>
      <c r="AC43" s="20" t="str">
        <f t="shared" ca="1" si="12"/>
        <v>'ALL JOBS'!G8</v>
      </c>
      <c r="AD43" s="20" t="e">
        <f t="shared" ca="1" si="13"/>
        <v>#N/A</v>
      </c>
      <c r="AE43" s="20" t="str">
        <f t="shared" ca="1" si="45"/>
        <v/>
      </c>
      <c r="AF43" s="20" t="str">
        <f t="shared" ca="1" si="46"/>
        <v/>
      </c>
      <c r="AG43" s="20" t="str">
        <f t="shared" si="47"/>
        <v>'ALL JOBS'!D49</v>
      </c>
      <c r="AH43" s="20" t="str">
        <f t="shared" si="48"/>
        <v>'ALL JOBS'!F49</v>
      </c>
      <c r="AJ43" s="20" t="e">
        <f ca="1">(OR(INDIRECT(L43)=MAX('ALL JOBS'!A:A),AJ42))</f>
        <v>#N/A</v>
      </c>
    </row>
    <row r="44" spans="1:36" ht="30" customHeight="1">
      <c r="A44" s="20" t="str">
        <f t="shared" ca="1" si="32"/>
        <v/>
      </c>
      <c r="B44" s="17" t="str">
        <f t="shared" ca="1" si="33"/>
        <v>THE FOLLOWING JOBS ARE NOT TO BE DONE THIS YEAR</v>
      </c>
      <c r="C44" s="18" t="str">
        <f t="shared" ca="1" si="34"/>
        <v/>
      </c>
      <c r="D44" s="18" t="str">
        <f t="shared" ca="1" si="35"/>
        <v/>
      </c>
      <c r="E44" s="18" t="str">
        <f t="shared" ca="1" si="36"/>
        <v/>
      </c>
      <c r="F44" s="19" t="str">
        <f t="shared" ca="1" si="37"/>
        <v/>
      </c>
      <c r="G44" s="20" t="str">
        <f ca="1">IF($C$1="ALL",IF(INDIRECT(AH44)="","",IF(INDIRECT(AG44)&gt;MAX(Budget!$B$3,Budget!$E$3),"","Y")),IF(ISERR(FIND($C$1,INDIRECT(AH44))),"",IF(INDIRECT(AG44)&gt;MAX(Budget!$B$3,Budget!$E$3),"","Y")))</f>
        <v>Y</v>
      </c>
      <c r="H44" s="20">
        <f t="shared" si="38"/>
        <v>44</v>
      </c>
      <c r="I44" s="20" t="e">
        <f t="shared" ca="1" si="39"/>
        <v>#N/A</v>
      </c>
      <c r="J44" s="20" t="e">
        <f t="shared" ca="1" si="40"/>
        <v>#N/A</v>
      </c>
      <c r="K44" s="20" t="e">
        <f ca="1">CONCATENATE("G",J43+1,":I",'ALL JOBS'!$K$9)</f>
        <v>#N/A</v>
      </c>
      <c r="L44" s="20" t="e">
        <f t="shared" ca="1" si="14"/>
        <v>#N/A</v>
      </c>
      <c r="M44" s="20" t="e">
        <f t="shared" ca="1" si="3"/>
        <v>#N/A</v>
      </c>
      <c r="N44" s="20" t="e">
        <f t="shared" ca="1" si="4"/>
        <v>#N/A</v>
      </c>
      <c r="O44" s="20" t="e">
        <f t="shared" ca="1" si="5"/>
        <v>#N/A</v>
      </c>
      <c r="P44" s="20" t="e">
        <f t="shared" ca="1" si="6"/>
        <v>#N/A</v>
      </c>
      <c r="Q44" s="20" t="e">
        <f t="shared" ca="1" si="7"/>
        <v>#N/A</v>
      </c>
      <c r="R44" s="20" t="e">
        <f t="shared" ca="1" si="8"/>
        <v>#N/A</v>
      </c>
      <c r="S44" s="18" t="str">
        <f t="shared" ca="1" si="41"/>
        <v/>
      </c>
      <c r="T44" s="21" t="str">
        <f>IF($C$1="ALL",IF('ALL JOBS'!F50="","",IF('ALL JOBS'!D50&lt;=Budget!$B$3,"","Y")),IF(ISERR(FIND($C$1,'ALL JOBS'!F50)),IF($E$1="","",IF(ISERR(FIND($E$1,'ALL JOBS'!F50)),"",IF('ALL JOBS'!D50&lt;=Budget!$B$3,"","Y"))),IF('ALL JOBS'!D50&lt;=Budget!$B$3,"","Y")))</f>
        <v/>
      </c>
      <c r="U44" s="20">
        <f t="shared" si="42"/>
        <v>44</v>
      </c>
      <c r="V44" s="20">
        <f t="shared" ca="1" si="43"/>
        <v>2</v>
      </c>
      <c r="W44" s="20" t="str">
        <f t="shared" ca="1" si="44"/>
        <v>T3:U72</v>
      </c>
      <c r="X44" s="20" t="str">
        <f t="shared" ca="1" si="15"/>
        <v>'ALL JOBS'!A8</v>
      </c>
      <c r="Y44" s="20" t="str">
        <f t="shared" ca="1" si="9"/>
        <v>'ALL JOBS'!B8</v>
      </c>
      <c r="Z44" s="20" t="str">
        <f t="shared" ca="1" si="10"/>
        <v>'ALL JOBS'!D8</v>
      </c>
      <c r="AA44" s="20" t="str">
        <f t="shared" ca="1" si="11"/>
        <v>'ALL JOBS'!E8</v>
      </c>
      <c r="AB44" s="20" t="str">
        <f t="shared" ca="1" si="16"/>
        <v>'ALL JOBS'!F8</v>
      </c>
      <c r="AC44" s="20" t="str">
        <f t="shared" ca="1" si="12"/>
        <v>'ALL JOBS'!G8</v>
      </c>
      <c r="AD44" s="20" t="e">
        <f t="shared" ca="1" si="13"/>
        <v>#N/A</v>
      </c>
      <c r="AE44" s="20" t="str">
        <f t="shared" ca="1" si="45"/>
        <v/>
      </c>
      <c r="AF44" s="20" t="str">
        <f t="shared" ca="1" si="46"/>
        <v/>
      </c>
      <c r="AG44" s="20" t="str">
        <f t="shared" si="47"/>
        <v>'ALL JOBS'!D50</v>
      </c>
      <c r="AH44" s="20" t="str">
        <f t="shared" si="48"/>
        <v>'ALL JOBS'!F50</v>
      </c>
      <c r="AJ44" s="20" t="e">
        <f ca="1">(OR(INDIRECT(L44)=MAX('ALL JOBS'!A:A),AJ43))</f>
        <v>#N/A</v>
      </c>
    </row>
    <row r="45" spans="1:36" ht="30" customHeight="1">
      <c r="A45" s="20">
        <f t="shared" ca="1" si="32"/>
        <v>45</v>
      </c>
      <c r="B45" s="17" t="str">
        <f t="shared" ca="1" si="33"/>
        <v>Mattress/cushion replacement programme</v>
      </c>
      <c r="C45" s="18">
        <f t="shared" ca="1" si="34"/>
        <v>6</v>
      </c>
      <c r="D45" s="18" t="str">
        <f t="shared" ca="1" si="35"/>
        <v>Miscellaneous</v>
      </c>
      <c r="E45" s="18" t="str">
        <f t="shared" ca="1" si="36"/>
        <v>DA/HA/JM</v>
      </c>
      <c r="F45" s="19">
        <f t="shared" ca="1" si="37"/>
        <v>1000</v>
      </c>
      <c r="G45" s="20" t="str">
        <f ca="1">IF($C$1="ALL",IF(INDIRECT(AH45)="","",IF(INDIRECT(AG45)&gt;MAX(Budget!$B$3,Budget!$E$3),"","Y")),IF(ISERR(FIND($C$1,INDIRECT(AH45))),"",IF(INDIRECT(AG45)&gt;MAX(Budget!$B$3,Budget!$E$3),"","Y")))</f>
        <v>Y</v>
      </c>
      <c r="H45" s="20">
        <f t="shared" si="38"/>
        <v>45</v>
      </c>
      <c r="I45" s="20" t="e">
        <f t="shared" ca="1" si="39"/>
        <v>#N/A</v>
      </c>
      <c r="J45" s="20" t="e">
        <f t="shared" ca="1" si="40"/>
        <v>#N/A</v>
      </c>
      <c r="K45" s="20" t="e">
        <f ca="1">CONCATENATE("G",J44+1,":I",'ALL JOBS'!$K$9)</f>
        <v>#N/A</v>
      </c>
      <c r="L45" s="20" t="e">
        <f t="shared" ca="1" si="14"/>
        <v>#N/A</v>
      </c>
      <c r="M45" s="20" t="e">
        <f t="shared" ca="1" si="3"/>
        <v>#N/A</v>
      </c>
      <c r="N45" s="20" t="e">
        <f t="shared" ca="1" si="4"/>
        <v>#N/A</v>
      </c>
      <c r="O45" s="20" t="e">
        <f t="shared" ca="1" si="5"/>
        <v>#N/A</v>
      </c>
      <c r="P45" s="20" t="e">
        <f t="shared" ca="1" si="6"/>
        <v>#N/A</v>
      </c>
      <c r="Q45" s="20" t="e">
        <f t="shared" ca="1" si="7"/>
        <v>#N/A</v>
      </c>
      <c r="R45" s="20" t="e">
        <f t="shared" ca="1" si="8"/>
        <v>#N/A</v>
      </c>
      <c r="S45" s="18" t="str">
        <f t="shared" ca="1" si="41"/>
        <v/>
      </c>
      <c r="T45" s="21" t="str">
        <f>IF($C$1="ALL",IF('ALL JOBS'!F51="","",IF('ALL JOBS'!D51&lt;=Budget!$B$3,"","Y")),IF(ISERR(FIND($C$1,'ALL JOBS'!F51)),IF($E$1="","",IF(ISERR(FIND($E$1,'ALL JOBS'!F51)),"",IF('ALL JOBS'!D51&lt;=Budget!$B$3,"","Y"))),IF('ALL JOBS'!D51&lt;=Budget!$B$3,"","Y")))</f>
        <v/>
      </c>
      <c r="U45" s="20">
        <f t="shared" si="42"/>
        <v>45</v>
      </c>
      <c r="V45" s="20">
        <f t="shared" ca="1" si="43"/>
        <v>51</v>
      </c>
      <c r="W45" s="20" t="str">
        <f t="shared" ca="1" si="44"/>
        <v>T3:U72</v>
      </c>
      <c r="X45" s="20" t="str">
        <f t="shared" ca="1" si="15"/>
        <v>'ALL JOBS'!A57</v>
      </c>
      <c r="Y45" s="20" t="str">
        <f t="shared" ca="1" si="9"/>
        <v>'ALL JOBS'!B57</v>
      </c>
      <c r="Z45" s="20" t="str">
        <f t="shared" ca="1" si="10"/>
        <v>'ALL JOBS'!D57</v>
      </c>
      <c r="AA45" s="20" t="str">
        <f t="shared" ca="1" si="11"/>
        <v>'ALL JOBS'!E57</v>
      </c>
      <c r="AB45" s="20" t="str">
        <f t="shared" ca="1" si="16"/>
        <v>'ALL JOBS'!F57</v>
      </c>
      <c r="AC45" s="20" t="str">
        <f t="shared" ca="1" si="12"/>
        <v>'ALL JOBS'!G57</v>
      </c>
      <c r="AD45" s="20" t="e">
        <f t="shared" ca="1" si="13"/>
        <v>#N/A</v>
      </c>
      <c r="AE45" s="20" t="str">
        <f t="shared" ca="1" si="45"/>
        <v>Y</v>
      </c>
      <c r="AF45" s="20">
        <f t="shared" ca="1" si="46"/>
        <v>0</v>
      </c>
      <c r="AG45" s="20" t="str">
        <f t="shared" si="47"/>
        <v>'ALL JOBS'!D51</v>
      </c>
      <c r="AH45" s="20" t="str">
        <f t="shared" si="48"/>
        <v>'ALL JOBS'!F51</v>
      </c>
      <c r="AJ45" s="20" t="e">
        <f ca="1">(OR(INDIRECT(L45)=MAX('ALL JOBS'!A:A),AJ44))</f>
        <v>#N/A</v>
      </c>
    </row>
    <row r="46" spans="1:36" ht="30" customHeight="1">
      <c r="A46" s="20" t="str">
        <f t="shared" ca="1" si="32"/>
        <v/>
      </c>
      <c r="B46" s="17" t="str">
        <f t="shared" ca="1" si="33"/>
        <v/>
      </c>
      <c r="C46" s="18" t="str">
        <f t="shared" ca="1" si="34"/>
        <v/>
      </c>
      <c r="D46" s="18" t="str">
        <f t="shared" ca="1" si="35"/>
        <v/>
      </c>
      <c r="E46" s="18" t="str">
        <f t="shared" ca="1" si="36"/>
        <v/>
      </c>
      <c r="F46" s="19" t="str">
        <f t="shared" ca="1" si="37"/>
        <v/>
      </c>
      <c r="G46" s="20" t="str">
        <f ca="1">IF($C$1="ALL",IF(INDIRECT(AH46)="","",IF(INDIRECT(AG46)&gt;MAX(Budget!$B$3,Budget!$E$3),"","Y")),IF(ISERR(FIND($C$1,INDIRECT(AH46))),"",IF(INDIRECT(AG46)&gt;MAX(Budget!$B$3,Budget!$E$3),"","Y")))</f>
        <v>Y</v>
      </c>
      <c r="H46" s="20">
        <f t="shared" si="38"/>
        <v>46</v>
      </c>
      <c r="I46" s="20" t="e">
        <f t="shared" ca="1" si="39"/>
        <v>#N/A</v>
      </c>
      <c r="J46" s="20" t="e">
        <f t="shared" ca="1" si="40"/>
        <v>#N/A</v>
      </c>
      <c r="K46" s="20" t="e">
        <f ca="1">CONCATENATE("G",J45+1,":I",'ALL JOBS'!$K$9)</f>
        <v>#N/A</v>
      </c>
      <c r="L46" s="20" t="e">
        <f t="shared" ca="1" si="14"/>
        <v>#N/A</v>
      </c>
      <c r="M46" s="20" t="e">
        <f t="shared" ca="1" si="3"/>
        <v>#N/A</v>
      </c>
      <c r="N46" s="20" t="e">
        <f t="shared" ca="1" si="4"/>
        <v>#N/A</v>
      </c>
      <c r="O46" s="20" t="e">
        <f t="shared" ca="1" si="5"/>
        <v>#N/A</v>
      </c>
      <c r="P46" s="20" t="e">
        <f t="shared" ca="1" si="6"/>
        <v>#N/A</v>
      </c>
      <c r="Q46" s="20" t="e">
        <f t="shared" ca="1" si="7"/>
        <v>#N/A</v>
      </c>
      <c r="R46" s="20" t="e">
        <f t="shared" ca="1" si="8"/>
        <v>#N/A</v>
      </c>
      <c r="S46" s="18" t="str">
        <f t="shared" ca="1" si="41"/>
        <v/>
      </c>
      <c r="T46" s="21" t="str">
        <f>IF($C$1="ALL",IF('ALL JOBS'!F52="","",IF('ALL JOBS'!D52&lt;=Budget!$B$3,"","Y")),IF(ISERR(FIND($C$1,'ALL JOBS'!F52)),IF($E$1="","",IF(ISERR(FIND($E$1,'ALL JOBS'!F52)),"",IF('ALL JOBS'!D52&lt;=Budget!$B$3,"","Y"))),IF('ALL JOBS'!D52&lt;=Budget!$B$3,"","Y")))</f>
        <v/>
      </c>
      <c r="U46" s="20">
        <f t="shared" si="42"/>
        <v>46</v>
      </c>
      <c r="V46" s="20" t="e">
        <f t="shared" ca="1" si="43"/>
        <v>#N/A</v>
      </c>
      <c r="W46" s="20" t="str">
        <f t="shared" ca="1" si="44"/>
        <v>T52:U72</v>
      </c>
      <c r="X46" s="20" t="e">
        <f t="shared" ca="1" si="15"/>
        <v>#N/A</v>
      </c>
      <c r="Y46" s="20" t="e">
        <f t="shared" ca="1" si="9"/>
        <v>#N/A</v>
      </c>
      <c r="Z46" s="20" t="e">
        <f t="shared" ca="1" si="10"/>
        <v>#N/A</v>
      </c>
      <c r="AA46" s="20" t="e">
        <f t="shared" ca="1" si="11"/>
        <v>#N/A</v>
      </c>
      <c r="AB46" s="20" t="e">
        <f t="shared" ca="1" si="16"/>
        <v>#N/A</v>
      </c>
      <c r="AC46" s="20" t="e">
        <f t="shared" ca="1" si="12"/>
        <v>#N/A</v>
      </c>
      <c r="AD46" s="20" t="e">
        <f t="shared" ca="1" si="13"/>
        <v>#N/A</v>
      </c>
      <c r="AE46" s="20" t="str">
        <f t="shared" ca="1" si="45"/>
        <v/>
      </c>
      <c r="AF46" s="20" t="str">
        <f t="shared" ca="1" si="46"/>
        <v/>
      </c>
      <c r="AG46" s="20" t="str">
        <f t="shared" si="47"/>
        <v>'ALL JOBS'!D52</v>
      </c>
      <c r="AH46" s="20" t="str">
        <f t="shared" si="48"/>
        <v>'ALL JOBS'!F52</v>
      </c>
      <c r="AJ46" s="20" t="e">
        <f ca="1">(OR(INDIRECT(L46)=MAX('ALL JOBS'!A:A),AJ45))</f>
        <v>#N/A</v>
      </c>
    </row>
    <row r="47" spans="1:36" ht="30" customHeight="1">
      <c r="A47" s="20" t="str">
        <f t="shared" ca="1" si="32"/>
        <v/>
      </c>
      <c r="B47" s="17" t="str">
        <f t="shared" ca="1" si="33"/>
        <v/>
      </c>
      <c r="C47" s="18" t="str">
        <f t="shared" ca="1" si="34"/>
        <v/>
      </c>
      <c r="D47" s="18" t="str">
        <f t="shared" ca="1" si="35"/>
        <v/>
      </c>
      <c r="E47" s="18" t="str">
        <f t="shared" ca="1" si="36"/>
        <v/>
      </c>
      <c r="F47" s="19" t="str">
        <f t="shared" ca="1" si="37"/>
        <v/>
      </c>
      <c r="G47" s="20" t="str">
        <f ca="1">IF($C$1="ALL",IF(INDIRECT(AH47)="","",IF(INDIRECT(AG47)&gt;MAX(Budget!$B$3,Budget!$E$3),"","Y")),IF(ISERR(FIND($C$1,INDIRECT(AH47))),"",IF(INDIRECT(AG47)&gt;MAX(Budget!$B$3,Budget!$E$3),"","Y")))</f>
        <v>Y</v>
      </c>
      <c r="H47" s="20">
        <f t="shared" si="38"/>
        <v>47</v>
      </c>
      <c r="I47" s="20" t="e">
        <f t="shared" ca="1" si="39"/>
        <v>#N/A</v>
      </c>
      <c r="J47" s="20" t="e">
        <f t="shared" ca="1" si="40"/>
        <v>#N/A</v>
      </c>
      <c r="K47" s="20" t="e">
        <f ca="1">CONCATENATE("G",J46+1,":I",'ALL JOBS'!$K$9)</f>
        <v>#N/A</v>
      </c>
      <c r="L47" s="20" t="e">
        <f t="shared" ca="1" si="14"/>
        <v>#N/A</v>
      </c>
      <c r="M47" s="20" t="e">
        <f t="shared" ca="1" si="3"/>
        <v>#N/A</v>
      </c>
      <c r="N47" s="20" t="e">
        <f t="shared" ca="1" si="4"/>
        <v>#N/A</v>
      </c>
      <c r="O47" s="20" t="e">
        <f t="shared" ca="1" si="5"/>
        <v>#N/A</v>
      </c>
      <c r="P47" s="20" t="e">
        <f t="shared" ca="1" si="6"/>
        <v>#N/A</v>
      </c>
      <c r="Q47" s="20" t="e">
        <f t="shared" ca="1" si="7"/>
        <v>#N/A</v>
      </c>
      <c r="R47" s="20" t="e">
        <f t="shared" ca="1" si="8"/>
        <v>#N/A</v>
      </c>
      <c r="S47" s="18" t="str">
        <f t="shared" ca="1" si="41"/>
        <v/>
      </c>
      <c r="T47" s="21" t="str">
        <f>IF($C$1="ALL",IF('ALL JOBS'!F53="","",IF('ALL JOBS'!D53&lt;=Budget!$B$3,"","Y")),IF(ISERR(FIND($C$1,'ALL JOBS'!F53)),IF($E$1="","",IF(ISERR(FIND($E$1,'ALL JOBS'!F53)),"",IF('ALL JOBS'!D53&lt;=Budget!$B$3,"","Y"))),IF('ALL JOBS'!D53&lt;=Budget!$B$3,"","Y")))</f>
        <v/>
      </c>
      <c r="U47" s="20">
        <f t="shared" si="42"/>
        <v>47</v>
      </c>
      <c r="V47" s="20" t="e">
        <f t="shared" ca="1" si="43"/>
        <v>#N/A</v>
      </c>
      <c r="W47" s="20" t="e">
        <f t="shared" ca="1" si="44"/>
        <v>#N/A</v>
      </c>
      <c r="X47" s="20" t="e">
        <f t="shared" ca="1" si="15"/>
        <v>#N/A</v>
      </c>
      <c r="Y47" s="20" t="e">
        <f t="shared" ca="1" si="9"/>
        <v>#N/A</v>
      </c>
      <c r="Z47" s="20" t="e">
        <f t="shared" ca="1" si="10"/>
        <v>#N/A</v>
      </c>
      <c r="AA47" s="20" t="e">
        <f t="shared" ca="1" si="11"/>
        <v>#N/A</v>
      </c>
      <c r="AB47" s="20" t="e">
        <f t="shared" ca="1" si="16"/>
        <v>#N/A</v>
      </c>
      <c r="AC47" s="20" t="e">
        <f t="shared" ca="1" si="12"/>
        <v>#N/A</v>
      </c>
      <c r="AD47" s="20" t="e">
        <f t="shared" ca="1" si="13"/>
        <v>#N/A</v>
      </c>
      <c r="AE47" s="20" t="str">
        <f t="shared" ca="1" si="45"/>
        <v/>
      </c>
      <c r="AF47" s="20" t="str">
        <f t="shared" ca="1" si="46"/>
        <v/>
      </c>
      <c r="AG47" s="20" t="str">
        <f t="shared" si="47"/>
        <v>'ALL JOBS'!D53</v>
      </c>
      <c r="AH47" s="20" t="str">
        <f t="shared" si="48"/>
        <v>'ALL JOBS'!F53</v>
      </c>
      <c r="AJ47" s="20" t="e">
        <f ca="1">(OR(INDIRECT(L47)=MAX('ALL JOBS'!A:A),AJ46))</f>
        <v>#N/A</v>
      </c>
    </row>
    <row r="48" spans="1:36" ht="30" customHeight="1">
      <c r="A48" s="20" t="str">
        <f t="shared" ca="1" si="32"/>
        <v/>
      </c>
      <c r="B48" s="17" t="str">
        <f t="shared" ca="1" si="33"/>
        <v/>
      </c>
      <c r="C48" s="18" t="str">
        <f t="shared" ca="1" si="34"/>
        <v/>
      </c>
      <c r="D48" s="18" t="str">
        <f t="shared" ca="1" si="35"/>
        <v/>
      </c>
      <c r="E48" s="18" t="str">
        <f t="shared" ca="1" si="36"/>
        <v/>
      </c>
      <c r="F48" s="19" t="str">
        <f t="shared" ca="1" si="37"/>
        <v/>
      </c>
      <c r="G48" s="20" t="str">
        <f ca="1">IF($C$1="ALL",IF(INDIRECT(AH48)="","",IF(INDIRECT(AG48)&gt;MAX(Budget!$B$3,Budget!$E$3),"","Y")),IF(ISERR(FIND($C$1,INDIRECT(AH48))),"",IF(INDIRECT(AG48)&gt;MAX(Budget!$B$3,Budget!$E$3),"","Y")))</f>
        <v>Y</v>
      </c>
      <c r="H48" s="20">
        <f t="shared" si="38"/>
        <v>48</v>
      </c>
      <c r="I48" s="20" t="e">
        <f t="shared" ca="1" si="39"/>
        <v>#N/A</v>
      </c>
      <c r="J48" s="20" t="e">
        <f t="shared" ca="1" si="40"/>
        <v>#N/A</v>
      </c>
      <c r="K48" s="20" t="e">
        <f ca="1">CONCATENATE("G",J47+1,":I",'ALL JOBS'!$K$9)</f>
        <v>#N/A</v>
      </c>
      <c r="L48" s="20" t="e">
        <f t="shared" ca="1" si="14"/>
        <v>#N/A</v>
      </c>
      <c r="M48" s="20" t="e">
        <f t="shared" ca="1" si="3"/>
        <v>#N/A</v>
      </c>
      <c r="N48" s="20" t="e">
        <f t="shared" ca="1" si="4"/>
        <v>#N/A</v>
      </c>
      <c r="O48" s="20" t="e">
        <f t="shared" ca="1" si="5"/>
        <v>#N/A</v>
      </c>
      <c r="P48" s="20" t="e">
        <f t="shared" ca="1" si="6"/>
        <v>#N/A</v>
      </c>
      <c r="Q48" s="20" t="e">
        <f t="shared" ca="1" si="7"/>
        <v>#N/A</v>
      </c>
      <c r="R48" s="20" t="e">
        <f t="shared" ca="1" si="8"/>
        <v>#N/A</v>
      </c>
      <c r="S48" s="18" t="str">
        <f t="shared" ca="1" si="41"/>
        <v/>
      </c>
      <c r="T48" s="21" t="str">
        <f>IF($C$1="ALL",IF('ALL JOBS'!F54="","",IF('ALL JOBS'!D54&lt;=Budget!$B$3,"","Y")),IF(ISERR(FIND($C$1,'ALL JOBS'!F54)),IF($E$1="","",IF(ISERR(FIND($E$1,'ALL JOBS'!F54)),"",IF('ALL JOBS'!D54&lt;=Budget!$B$3,"","Y"))),IF('ALL JOBS'!D54&lt;=Budget!$B$3,"","Y")))</f>
        <v/>
      </c>
      <c r="U48" s="20">
        <f t="shared" si="42"/>
        <v>48</v>
      </c>
      <c r="V48" s="20" t="e">
        <f t="shared" ca="1" si="43"/>
        <v>#N/A</v>
      </c>
      <c r="W48" s="20" t="e">
        <f t="shared" ca="1" si="44"/>
        <v>#N/A</v>
      </c>
      <c r="X48" s="20" t="e">
        <f t="shared" ca="1" si="15"/>
        <v>#N/A</v>
      </c>
      <c r="Y48" s="20" t="e">
        <f t="shared" ca="1" si="9"/>
        <v>#N/A</v>
      </c>
      <c r="Z48" s="20" t="e">
        <f t="shared" ca="1" si="10"/>
        <v>#N/A</v>
      </c>
      <c r="AA48" s="20" t="e">
        <f t="shared" ca="1" si="11"/>
        <v>#N/A</v>
      </c>
      <c r="AB48" s="20" t="e">
        <f t="shared" ca="1" si="16"/>
        <v>#N/A</v>
      </c>
      <c r="AC48" s="20" t="e">
        <f t="shared" ca="1" si="12"/>
        <v>#N/A</v>
      </c>
      <c r="AD48" s="20" t="e">
        <f t="shared" ca="1" si="13"/>
        <v>#N/A</v>
      </c>
      <c r="AE48" s="20" t="str">
        <f t="shared" ca="1" si="45"/>
        <v/>
      </c>
      <c r="AF48" s="20" t="str">
        <f t="shared" ca="1" si="46"/>
        <v/>
      </c>
      <c r="AG48" s="20" t="str">
        <f t="shared" si="47"/>
        <v>'ALL JOBS'!D54</v>
      </c>
      <c r="AH48" s="20" t="str">
        <f t="shared" si="48"/>
        <v>'ALL JOBS'!F54</v>
      </c>
      <c r="AJ48" s="20" t="e">
        <f ca="1">(OR(INDIRECT(L48)=MAX('ALL JOBS'!A:A),AJ47))</f>
        <v>#N/A</v>
      </c>
    </row>
    <row r="49" spans="1:36" ht="30" customHeight="1">
      <c r="A49" s="20" t="str">
        <f t="shared" ca="1" si="32"/>
        <v/>
      </c>
      <c r="B49" s="17" t="str">
        <f t="shared" ca="1" si="33"/>
        <v/>
      </c>
      <c r="C49" s="18" t="str">
        <f t="shared" ca="1" si="34"/>
        <v/>
      </c>
      <c r="D49" s="18" t="str">
        <f t="shared" ca="1" si="35"/>
        <v/>
      </c>
      <c r="E49" s="18" t="str">
        <f t="shared" ca="1" si="36"/>
        <v/>
      </c>
      <c r="F49" s="19" t="str">
        <f t="shared" ca="1" si="37"/>
        <v/>
      </c>
      <c r="G49" s="20" t="str">
        <f ca="1">IF($C$1="ALL",IF(INDIRECT(AH49)="","",IF(INDIRECT(AG49)&gt;MAX(Budget!$B$3,Budget!$E$3),"","Y")),IF(ISERR(FIND($C$1,INDIRECT(AH49))),"",IF(INDIRECT(AG49)&gt;MAX(Budget!$B$3,Budget!$E$3),"","Y")))</f>
        <v>Y</v>
      </c>
      <c r="H49" s="20">
        <f t="shared" si="38"/>
        <v>49</v>
      </c>
      <c r="I49" s="20" t="e">
        <f t="shared" ca="1" si="39"/>
        <v>#N/A</v>
      </c>
      <c r="J49" s="20" t="e">
        <f t="shared" ca="1" si="40"/>
        <v>#N/A</v>
      </c>
      <c r="K49" s="20" t="e">
        <f ca="1">CONCATENATE("G",J48+1,":I",'ALL JOBS'!$K$9)</f>
        <v>#N/A</v>
      </c>
      <c r="L49" s="20" t="e">
        <f t="shared" ca="1" si="14"/>
        <v>#N/A</v>
      </c>
      <c r="M49" s="20" t="e">
        <f t="shared" ca="1" si="3"/>
        <v>#N/A</v>
      </c>
      <c r="N49" s="20" t="e">
        <f t="shared" ca="1" si="4"/>
        <v>#N/A</v>
      </c>
      <c r="O49" s="20" t="e">
        <f t="shared" ca="1" si="5"/>
        <v>#N/A</v>
      </c>
      <c r="P49" s="20" t="e">
        <f t="shared" ca="1" si="6"/>
        <v>#N/A</v>
      </c>
      <c r="Q49" s="20" t="e">
        <f t="shared" ca="1" si="7"/>
        <v>#N/A</v>
      </c>
      <c r="R49" s="20" t="e">
        <f t="shared" ca="1" si="8"/>
        <v>#N/A</v>
      </c>
      <c r="S49" s="18" t="str">
        <f t="shared" ca="1" si="41"/>
        <v/>
      </c>
      <c r="T49" s="21" t="str">
        <f>IF($C$1="ALL",IF('ALL JOBS'!F55="","",IF('ALL JOBS'!D55&lt;=Budget!$B$3,"","Y")),IF(ISERR(FIND($C$1,'ALL JOBS'!F55)),IF($E$1="","",IF(ISERR(FIND($E$1,'ALL JOBS'!F55)),"",IF('ALL JOBS'!D55&lt;=Budget!$B$3,"","Y"))),IF('ALL JOBS'!D55&lt;=Budget!$B$3,"","Y")))</f>
        <v/>
      </c>
      <c r="U49" s="20">
        <f t="shared" si="42"/>
        <v>49</v>
      </c>
      <c r="V49" s="20" t="e">
        <f t="shared" ca="1" si="43"/>
        <v>#N/A</v>
      </c>
      <c r="W49" s="20" t="e">
        <f t="shared" ca="1" si="44"/>
        <v>#N/A</v>
      </c>
      <c r="X49" s="20" t="e">
        <f t="shared" ca="1" si="15"/>
        <v>#N/A</v>
      </c>
      <c r="Y49" s="20" t="e">
        <f t="shared" ca="1" si="9"/>
        <v>#N/A</v>
      </c>
      <c r="Z49" s="20" t="e">
        <f t="shared" ca="1" si="10"/>
        <v>#N/A</v>
      </c>
      <c r="AA49" s="20" t="e">
        <f t="shared" ca="1" si="11"/>
        <v>#N/A</v>
      </c>
      <c r="AB49" s="20" t="e">
        <f t="shared" ca="1" si="16"/>
        <v>#N/A</v>
      </c>
      <c r="AC49" s="20" t="e">
        <f t="shared" ca="1" si="12"/>
        <v>#N/A</v>
      </c>
      <c r="AD49" s="20" t="e">
        <f t="shared" ca="1" si="13"/>
        <v>#N/A</v>
      </c>
      <c r="AE49" s="20" t="str">
        <f t="shared" ca="1" si="45"/>
        <v/>
      </c>
      <c r="AF49" s="20" t="str">
        <f t="shared" ca="1" si="46"/>
        <v/>
      </c>
      <c r="AG49" s="20" t="str">
        <f t="shared" si="47"/>
        <v>'ALL JOBS'!D55</v>
      </c>
      <c r="AH49" s="20" t="str">
        <f t="shared" si="48"/>
        <v>'ALL JOBS'!F55</v>
      </c>
      <c r="AJ49" s="20" t="e">
        <f ca="1">(OR(INDIRECT(L49)=MAX('ALL JOBS'!A:A),AJ48))</f>
        <v>#N/A</v>
      </c>
    </row>
    <row r="50" spans="1:36" ht="30" customHeight="1">
      <c r="A50" s="20" t="str">
        <f t="shared" ca="1" si="32"/>
        <v/>
      </c>
      <c r="B50" s="17" t="str">
        <f t="shared" ca="1" si="33"/>
        <v/>
      </c>
      <c r="C50" s="18" t="str">
        <f t="shared" ca="1" si="34"/>
        <v/>
      </c>
      <c r="D50" s="18" t="str">
        <f t="shared" ca="1" si="35"/>
        <v/>
      </c>
      <c r="E50" s="18" t="str">
        <f t="shared" ca="1" si="36"/>
        <v/>
      </c>
      <c r="F50" s="19" t="str">
        <f t="shared" ca="1" si="37"/>
        <v/>
      </c>
      <c r="G50" s="20" t="str">
        <f ca="1">IF($C$1="ALL",IF(INDIRECT(AH50)="","",IF(INDIRECT(AG50)&gt;MAX(Budget!$B$3,Budget!$E$3),"","Y")),IF(ISERR(FIND($C$1,INDIRECT(AH50))),"",IF(INDIRECT(AG50)&gt;MAX(Budget!$B$3,Budget!$E$3),"","Y")))</f>
        <v>Y</v>
      </c>
      <c r="H50" s="20">
        <f t="shared" si="38"/>
        <v>50</v>
      </c>
      <c r="I50" s="20" t="e">
        <f t="shared" ca="1" si="39"/>
        <v>#N/A</v>
      </c>
      <c r="J50" s="20" t="e">
        <f t="shared" ca="1" si="40"/>
        <v>#N/A</v>
      </c>
      <c r="K50" s="20" t="e">
        <f ca="1">CONCATENATE("G",J49+1,":I",'ALL JOBS'!$K$9)</f>
        <v>#N/A</v>
      </c>
      <c r="L50" s="20" t="e">
        <f t="shared" ca="1" si="14"/>
        <v>#N/A</v>
      </c>
      <c r="M50" s="20" t="e">
        <f t="shared" ca="1" si="3"/>
        <v>#N/A</v>
      </c>
      <c r="N50" s="20" t="e">
        <f t="shared" ca="1" si="4"/>
        <v>#N/A</v>
      </c>
      <c r="O50" s="20" t="e">
        <f t="shared" ca="1" si="5"/>
        <v>#N/A</v>
      </c>
      <c r="P50" s="20" t="e">
        <f t="shared" ca="1" si="6"/>
        <v>#N/A</v>
      </c>
      <c r="Q50" s="20" t="e">
        <f t="shared" ca="1" si="7"/>
        <v>#N/A</v>
      </c>
      <c r="R50" s="20" t="e">
        <f t="shared" ca="1" si="8"/>
        <v>#N/A</v>
      </c>
      <c r="S50" s="18" t="str">
        <f t="shared" ca="1" si="41"/>
        <v/>
      </c>
      <c r="T50" s="21" t="str">
        <f>IF($C$1="ALL",IF('ALL JOBS'!F56="","",IF('ALL JOBS'!D56&lt;=Budget!$B$3,"","Y")),IF(ISERR(FIND($C$1,'ALL JOBS'!F56)),IF($E$1="","",IF(ISERR(FIND($E$1,'ALL JOBS'!F56)),"",IF('ALL JOBS'!D56&lt;=Budget!$B$3,"","Y"))),IF('ALL JOBS'!D56&lt;=Budget!$B$3,"","Y")))</f>
        <v/>
      </c>
      <c r="U50" s="20">
        <f t="shared" si="42"/>
        <v>50</v>
      </c>
      <c r="V50" s="20" t="e">
        <f t="shared" ca="1" si="43"/>
        <v>#N/A</v>
      </c>
      <c r="W50" s="20" t="e">
        <f t="shared" ca="1" si="44"/>
        <v>#N/A</v>
      </c>
      <c r="X50" s="20" t="e">
        <f t="shared" ca="1" si="15"/>
        <v>#N/A</v>
      </c>
      <c r="Y50" s="20" t="e">
        <f t="shared" ca="1" si="9"/>
        <v>#N/A</v>
      </c>
      <c r="Z50" s="20" t="e">
        <f t="shared" ca="1" si="10"/>
        <v>#N/A</v>
      </c>
      <c r="AA50" s="20" t="e">
        <f t="shared" ca="1" si="11"/>
        <v>#N/A</v>
      </c>
      <c r="AB50" s="20" t="e">
        <f t="shared" ca="1" si="16"/>
        <v>#N/A</v>
      </c>
      <c r="AC50" s="20" t="e">
        <f t="shared" ca="1" si="12"/>
        <v>#N/A</v>
      </c>
      <c r="AD50" s="20" t="e">
        <f t="shared" ca="1" si="13"/>
        <v>#N/A</v>
      </c>
      <c r="AE50" s="20" t="str">
        <f t="shared" ca="1" si="45"/>
        <v/>
      </c>
      <c r="AF50" s="20" t="str">
        <f t="shared" ca="1" si="46"/>
        <v/>
      </c>
      <c r="AG50" s="20" t="str">
        <f t="shared" si="47"/>
        <v>'ALL JOBS'!D56</v>
      </c>
      <c r="AH50" s="20" t="str">
        <f t="shared" si="48"/>
        <v>'ALL JOBS'!F56</v>
      </c>
      <c r="AJ50" s="20" t="e">
        <f ca="1">(OR(INDIRECT(L50)=MAX('ALL JOBS'!A:A),AJ49))</f>
        <v>#N/A</v>
      </c>
    </row>
    <row r="51" spans="1:36" ht="30" customHeight="1">
      <c r="A51" s="20" t="str">
        <f t="shared" ca="1" si="32"/>
        <v/>
      </c>
      <c r="B51" s="17" t="str">
        <f t="shared" ca="1" si="33"/>
        <v/>
      </c>
      <c r="C51" s="18" t="str">
        <f t="shared" ca="1" si="34"/>
        <v/>
      </c>
      <c r="D51" s="18" t="str">
        <f t="shared" ca="1" si="35"/>
        <v/>
      </c>
      <c r="E51" s="18" t="str">
        <f t="shared" ca="1" si="36"/>
        <v/>
      </c>
      <c r="F51" s="19" t="str">
        <f t="shared" ca="1" si="37"/>
        <v/>
      </c>
      <c r="G51" s="20" t="str">
        <f ca="1">IF($C$1="ALL",IF(INDIRECT(AH51)="","",IF(INDIRECT(AG51)&gt;MAX(Budget!$B$3,Budget!$E$3),"","Y")),IF(ISERR(FIND($C$1,INDIRECT(AH51))),"",IF(INDIRECT(AG51)&gt;MAX(Budget!$B$3,Budget!$E$3),"","Y")))</f>
        <v/>
      </c>
      <c r="H51" s="20">
        <f t="shared" si="38"/>
        <v>51</v>
      </c>
      <c r="I51" s="20" t="e">
        <f t="shared" ca="1" si="39"/>
        <v>#N/A</v>
      </c>
      <c r="J51" s="20" t="e">
        <f t="shared" ca="1" si="40"/>
        <v>#N/A</v>
      </c>
      <c r="K51" s="20" t="e">
        <f ca="1">CONCATENATE("G",J50+1,":I",'ALL JOBS'!$K$9)</f>
        <v>#N/A</v>
      </c>
      <c r="L51" s="20" t="e">
        <f t="shared" ca="1" si="14"/>
        <v>#N/A</v>
      </c>
      <c r="M51" s="20" t="e">
        <f t="shared" ca="1" si="3"/>
        <v>#N/A</v>
      </c>
      <c r="N51" s="20" t="e">
        <f t="shared" ca="1" si="4"/>
        <v>#N/A</v>
      </c>
      <c r="O51" s="20" t="e">
        <f t="shared" ca="1" si="5"/>
        <v>#N/A</v>
      </c>
      <c r="P51" s="20" t="e">
        <f t="shared" ca="1" si="6"/>
        <v>#N/A</v>
      </c>
      <c r="Q51" s="20" t="e">
        <f t="shared" ca="1" si="7"/>
        <v>#N/A</v>
      </c>
      <c r="R51" s="20" t="e">
        <f t="shared" ca="1" si="8"/>
        <v>#N/A</v>
      </c>
      <c r="S51" s="18" t="str">
        <f t="shared" ca="1" si="41"/>
        <v/>
      </c>
      <c r="T51" s="21" t="str">
        <f>IF($C$1="ALL",IF('ALL JOBS'!F57="","",IF('ALL JOBS'!D57&lt;=Budget!$B$3,"","Y")),IF(ISERR(FIND($C$1,'ALL JOBS'!F57)),IF($E$1="","",IF(ISERR(FIND($E$1,'ALL JOBS'!F57)),"",IF('ALL JOBS'!D57&lt;=Budget!$B$3,"","Y"))),IF('ALL JOBS'!D57&lt;=Budget!$B$3,"","Y")))</f>
        <v>Y</v>
      </c>
      <c r="U51" s="20">
        <f t="shared" si="42"/>
        <v>51</v>
      </c>
      <c r="V51" s="20" t="e">
        <f t="shared" ca="1" si="43"/>
        <v>#N/A</v>
      </c>
      <c r="W51" s="20" t="e">
        <f t="shared" ca="1" si="44"/>
        <v>#N/A</v>
      </c>
      <c r="X51" s="20" t="e">
        <f t="shared" ca="1" si="15"/>
        <v>#N/A</v>
      </c>
      <c r="Y51" s="20" t="e">
        <f t="shared" ca="1" si="9"/>
        <v>#N/A</v>
      </c>
      <c r="Z51" s="20" t="e">
        <f t="shared" ca="1" si="10"/>
        <v>#N/A</v>
      </c>
      <c r="AA51" s="20" t="e">
        <f t="shared" ca="1" si="11"/>
        <v>#N/A</v>
      </c>
      <c r="AB51" s="20" t="e">
        <f t="shared" ca="1" si="16"/>
        <v>#N/A</v>
      </c>
      <c r="AC51" s="20" t="e">
        <f t="shared" ca="1" si="12"/>
        <v>#N/A</v>
      </c>
      <c r="AD51" s="20" t="e">
        <f t="shared" ca="1" si="13"/>
        <v>#N/A</v>
      </c>
      <c r="AE51" s="20" t="str">
        <f t="shared" ca="1" si="45"/>
        <v/>
      </c>
      <c r="AF51" s="20" t="str">
        <f t="shared" ca="1" si="46"/>
        <v/>
      </c>
      <c r="AG51" s="20" t="str">
        <f t="shared" si="47"/>
        <v>'ALL JOBS'!D57</v>
      </c>
      <c r="AH51" s="20" t="str">
        <f t="shared" si="48"/>
        <v>'ALL JOBS'!F57</v>
      </c>
      <c r="AJ51" s="20" t="e">
        <f ca="1">(OR(INDIRECT(L51)=MAX('ALL JOBS'!A:A),AJ50))</f>
        <v>#N/A</v>
      </c>
    </row>
    <row r="52" spans="1:36" ht="30" customHeight="1">
      <c r="A52" s="20" t="str">
        <f t="shared" ca="1" si="32"/>
        <v/>
      </c>
      <c r="B52" s="17" t="str">
        <f t="shared" ca="1" si="33"/>
        <v/>
      </c>
      <c r="C52" s="18" t="str">
        <f t="shared" ca="1" si="34"/>
        <v/>
      </c>
      <c r="D52" s="18" t="str">
        <f t="shared" ca="1" si="35"/>
        <v/>
      </c>
      <c r="E52" s="18" t="str">
        <f t="shared" ca="1" si="36"/>
        <v/>
      </c>
      <c r="F52" s="19" t="str">
        <f t="shared" ca="1" si="37"/>
        <v/>
      </c>
      <c r="G52" s="20" t="str">
        <f ca="1">IF($C$1="ALL",IF(INDIRECT(AH52)="","",IF(INDIRECT(AG52)&gt;MAX(Budget!$B$3,Budget!$E$3),"","Y")),IF(ISERR(FIND($C$1,INDIRECT(AH52))),"",IF(INDIRECT(AG52)&gt;MAX(Budget!$B$3,Budget!$E$3),"","Y")))</f>
        <v/>
      </c>
      <c r="H52" s="20">
        <f t="shared" si="38"/>
        <v>52</v>
      </c>
      <c r="I52" s="20" t="e">
        <f t="shared" ca="1" si="39"/>
        <v>#N/A</v>
      </c>
      <c r="J52" s="20" t="e">
        <f t="shared" ca="1" si="40"/>
        <v>#N/A</v>
      </c>
      <c r="K52" s="20" t="e">
        <f ca="1">CONCATENATE("G",J51+1,":I",'ALL JOBS'!$K$9)</f>
        <v>#N/A</v>
      </c>
      <c r="L52" s="20" t="e">
        <f t="shared" ca="1" si="14"/>
        <v>#N/A</v>
      </c>
      <c r="M52" s="20" t="e">
        <f t="shared" ca="1" si="3"/>
        <v>#N/A</v>
      </c>
      <c r="N52" s="20" t="e">
        <f t="shared" ca="1" si="4"/>
        <v>#N/A</v>
      </c>
      <c r="O52" s="20" t="e">
        <f t="shared" ca="1" si="5"/>
        <v>#N/A</v>
      </c>
      <c r="P52" s="20" t="e">
        <f t="shared" ca="1" si="6"/>
        <v>#N/A</v>
      </c>
      <c r="Q52" s="20" t="e">
        <f t="shared" ca="1" si="7"/>
        <v>#N/A</v>
      </c>
      <c r="R52" s="20" t="e">
        <f t="shared" ca="1" si="8"/>
        <v>#N/A</v>
      </c>
      <c r="S52" s="18" t="str">
        <f t="shared" ca="1" si="41"/>
        <v/>
      </c>
      <c r="T52" s="21" t="str">
        <f>IF($C$1="ALL",IF('ALL JOBS'!F58="","",IF('ALL JOBS'!D58&lt;=Budget!$B$3,"","Y")),IF(ISERR(FIND($C$1,'ALL JOBS'!F58)),IF($E$1="","",IF(ISERR(FIND($E$1,'ALL JOBS'!F58)),"",IF('ALL JOBS'!D58&lt;=Budget!$B$3,"","Y"))),IF('ALL JOBS'!D58&lt;=Budget!$B$3,"","Y")))</f>
        <v/>
      </c>
      <c r="U52" s="20">
        <f t="shared" si="42"/>
        <v>52</v>
      </c>
      <c r="V52" s="20" t="e">
        <f t="shared" ca="1" si="43"/>
        <v>#N/A</v>
      </c>
      <c r="W52" s="20" t="e">
        <f t="shared" ca="1" si="44"/>
        <v>#N/A</v>
      </c>
      <c r="X52" s="20" t="e">
        <f t="shared" ca="1" si="15"/>
        <v>#N/A</v>
      </c>
      <c r="Y52" s="20" t="e">
        <f t="shared" ca="1" si="9"/>
        <v>#N/A</v>
      </c>
      <c r="Z52" s="20" t="e">
        <f t="shared" ca="1" si="10"/>
        <v>#N/A</v>
      </c>
      <c r="AA52" s="20" t="e">
        <f t="shared" ca="1" si="11"/>
        <v>#N/A</v>
      </c>
      <c r="AB52" s="20" t="e">
        <f t="shared" ca="1" si="16"/>
        <v>#N/A</v>
      </c>
      <c r="AC52" s="20" t="e">
        <f t="shared" ca="1" si="12"/>
        <v>#N/A</v>
      </c>
      <c r="AD52" s="20" t="e">
        <f t="shared" ca="1" si="13"/>
        <v>#N/A</v>
      </c>
      <c r="AE52" s="20" t="str">
        <f t="shared" ca="1" si="45"/>
        <v/>
      </c>
      <c r="AF52" s="20" t="str">
        <f t="shared" ca="1" si="46"/>
        <v/>
      </c>
      <c r="AG52" s="20" t="str">
        <f t="shared" si="47"/>
        <v>'ALL JOBS'!D58</v>
      </c>
      <c r="AH52" s="20" t="str">
        <f t="shared" si="48"/>
        <v>'ALL JOBS'!F58</v>
      </c>
      <c r="AJ52" s="20" t="e">
        <f ca="1">(OR(INDIRECT(L52)=MAX('ALL JOBS'!A:A),AJ51))</f>
        <v>#N/A</v>
      </c>
    </row>
    <row r="53" spans="1:36" ht="30" customHeight="1">
      <c r="A53" s="20" t="str">
        <f t="shared" ca="1" si="32"/>
        <v/>
      </c>
      <c r="B53" s="17" t="str">
        <f t="shared" ca="1" si="33"/>
        <v/>
      </c>
      <c r="C53" s="18" t="str">
        <f t="shared" ca="1" si="34"/>
        <v/>
      </c>
      <c r="D53" s="18" t="str">
        <f t="shared" ca="1" si="35"/>
        <v/>
      </c>
      <c r="E53" s="18" t="str">
        <f t="shared" ca="1" si="36"/>
        <v/>
      </c>
      <c r="F53" s="19" t="str">
        <f t="shared" ca="1" si="37"/>
        <v/>
      </c>
      <c r="G53" s="20" t="str">
        <f ca="1">IF($C$1="ALL",IF(INDIRECT(AH53)="","",IF(INDIRECT(AG53)&gt;MAX(Budget!$B$3,Budget!$E$3),"","Y")),IF(ISERR(FIND($C$1,INDIRECT(AH53))),"",IF(INDIRECT(AG53)&gt;MAX(Budget!$B$3,Budget!$E$3),"","Y")))</f>
        <v/>
      </c>
      <c r="H53" s="20">
        <f t="shared" si="38"/>
        <v>53</v>
      </c>
      <c r="I53" s="20" t="e">
        <f t="shared" ca="1" si="39"/>
        <v>#N/A</v>
      </c>
      <c r="J53" s="20" t="e">
        <f t="shared" ca="1" si="40"/>
        <v>#N/A</v>
      </c>
      <c r="K53" s="20" t="e">
        <f ca="1">CONCATENATE("G",J52+1,":I",'ALL JOBS'!$K$9)</f>
        <v>#N/A</v>
      </c>
      <c r="L53" s="20" t="e">
        <f t="shared" ca="1" si="14"/>
        <v>#N/A</v>
      </c>
      <c r="M53" s="20" t="e">
        <f t="shared" ca="1" si="3"/>
        <v>#N/A</v>
      </c>
      <c r="N53" s="20" t="e">
        <f t="shared" ca="1" si="4"/>
        <v>#N/A</v>
      </c>
      <c r="O53" s="20" t="e">
        <f t="shared" ca="1" si="5"/>
        <v>#N/A</v>
      </c>
      <c r="P53" s="20" t="e">
        <f t="shared" ca="1" si="6"/>
        <v>#N/A</v>
      </c>
      <c r="Q53" s="20" t="e">
        <f t="shared" ca="1" si="7"/>
        <v>#N/A</v>
      </c>
      <c r="R53" s="20" t="e">
        <f t="shared" ca="1" si="8"/>
        <v>#N/A</v>
      </c>
      <c r="S53" s="18" t="str">
        <f t="shared" ca="1" si="41"/>
        <v/>
      </c>
      <c r="T53" s="21" t="str">
        <f>IF($C$1="ALL",IF('ALL JOBS'!F59="","",IF('ALL JOBS'!D59&lt;=Budget!$B$3,"","Y")),IF(ISERR(FIND($C$1,'ALL JOBS'!F59)),IF($E$1="","",IF(ISERR(FIND($E$1,'ALL JOBS'!F59)),"",IF('ALL JOBS'!D59&lt;=Budget!$B$3,"","Y"))),IF('ALL JOBS'!D59&lt;=Budget!$B$3,"","Y")))</f>
        <v/>
      </c>
      <c r="U53" s="20">
        <f t="shared" si="42"/>
        <v>53</v>
      </c>
      <c r="V53" s="20" t="e">
        <f t="shared" ca="1" si="43"/>
        <v>#N/A</v>
      </c>
      <c r="W53" s="20" t="e">
        <f t="shared" ca="1" si="44"/>
        <v>#N/A</v>
      </c>
      <c r="X53" s="20" t="e">
        <f t="shared" ca="1" si="15"/>
        <v>#N/A</v>
      </c>
      <c r="Y53" s="20" t="e">
        <f t="shared" ca="1" si="9"/>
        <v>#N/A</v>
      </c>
      <c r="Z53" s="20" t="e">
        <f t="shared" ca="1" si="10"/>
        <v>#N/A</v>
      </c>
      <c r="AA53" s="20" t="e">
        <f t="shared" ca="1" si="11"/>
        <v>#N/A</v>
      </c>
      <c r="AB53" s="20" t="e">
        <f t="shared" ca="1" si="16"/>
        <v>#N/A</v>
      </c>
      <c r="AC53" s="20" t="e">
        <f t="shared" ca="1" si="12"/>
        <v>#N/A</v>
      </c>
      <c r="AD53" s="20" t="e">
        <f t="shared" ca="1" si="13"/>
        <v>#N/A</v>
      </c>
      <c r="AE53" s="20" t="str">
        <f t="shared" ca="1" si="45"/>
        <v/>
      </c>
      <c r="AF53" s="20" t="str">
        <f t="shared" ca="1" si="46"/>
        <v/>
      </c>
      <c r="AG53" s="20" t="str">
        <f t="shared" si="47"/>
        <v>'ALL JOBS'!D59</v>
      </c>
      <c r="AH53" s="20" t="str">
        <f t="shared" si="48"/>
        <v>'ALL JOBS'!F59</v>
      </c>
      <c r="AJ53" s="20" t="e">
        <f ca="1">(OR(INDIRECT(L53)=MAX('ALL JOBS'!A:A),AJ52))</f>
        <v>#N/A</v>
      </c>
    </row>
    <row r="54" spans="1:36" ht="30" customHeight="1">
      <c r="A54" s="20" t="str">
        <f t="shared" ca="1" si="32"/>
        <v/>
      </c>
      <c r="B54" s="17" t="str">
        <f t="shared" ca="1" si="33"/>
        <v/>
      </c>
      <c r="C54" s="18" t="str">
        <f t="shared" ca="1" si="34"/>
        <v/>
      </c>
      <c r="D54" s="18" t="str">
        <f t="shared" ca="1" si="35"/>
        <v/>
      </c>
      <c r="E54" s="18" t="str">
        <f t="shared" ca="1" si="36"/>
        <v/>
      </c>
      <c r="F54" s="19" t="str">
        <f t="shared" ca="1" si="37"/>
        <v/>
      </c>
      <c r="G54" s="20" t="str">
        <f ca="1">IF($C$1="ALL",IF(INDIRECT(AH54)="","",IF(INDIRECT(AG54)&gt;MAX(Budget!$B$3,Budget!$E$3),"","Y")),IF(ISERR(FIND($C$1,INDIRECT(AH54))),"",IF(INDIRECT(AG54)&gt;MAX(Budget!$B$3,Budget!$E$3),"","Y")))</f>
        <v/>
      </c>
      <c r="H54" s="20">
        <f t="shared" si="38"/>
        <v>54</v>
      </c>
      <c r="I54" s="20" t="e">
        <f t="shared" ca="1" si="39"/>
        <v>#N/A</v>
      </c>
      <c r="J54" s="20" t="e">
        <f t="shared" ca="1" si="40"/>
        <v>#N/A</v>
      </c>
      <c r="K54" s="20" t="e">
        <f ca="1">CONCATENATE("G",J53+1,":I",'ALL JOBS'!$K$9)</f>
        <v>#N/A</v>
      </c>
      <c r="L54" s="20" t="e">
        <f t="shared" ca="1" si="14"/>
        <v>#N/A</v>
      </c>
      <c r="M54" s="20" t="e">
        <f t="shared" ca="1" si="3"/>
        <v>#N/A</v>
      </c>
      <c r="N54" s="20" t="e">
        <f t="shared" ca="1" si="4"/>
        <v>#N/A</v>
      </c>
      <c r="O54" s="20" t="e">
        <f t="shared" ca="1" si="5"/>
        <v>#N/A</v>
      </c>
      <c r="P54" s="20" t="e">
        <f t="shared" ca="1" si="6"/>
        <v>#N/A</v>
      </c>
      <c r="Q54" s="20" t="e">
        <f t="shared" ca="1" si="7"/>
        <v>#N/A</v>
      </c>
      <c r="R54" s="20" t="e">
        <f t="shared" ca="1" si="8"/>
        <v>#N/A</v>
      </c>
      <c r="S54" s="18" t="str">
        <f t="shared" ca="1" si="41"/>
        <v/>
      </c>
      <c r="T54" s="21" t="str">
        <f>IF($C$1="ALL",IF('ALL JOBS'!F60="","",IF('ALL JOBS'!D60&lt;=Budget!$B$3,"","Y")),IF(ISERR(FIND($C$1,'ALL JOBS'!F60)),IF($E$1="","",IF(ISERR(FIND($E$1,'ALL JOBS'!F60)),"",IF('ALL JOBS'!D60&lt;=Budget!$B$3,"","Y"))),IF('ALL JOBS'!D60&lt;=Budget!$B$3,"","Y")))</f>
        <v/>
      </c>
      <c r="U54" s="20">
        <f t="shared" si="42"/>
        <v>54</v>
      </c>
      <c r="V54" s="20" t="e">
        <f t="shared" ca="1" si="43"/>
        <v>#N/A</v>
      </c>
      <c r="W54" s="20" t="e">
        <f t="shared" ca="1" si="44"/>
        <v>#N/A</v>
      </c>
      <c r="X54" s="20" t="e">
        <f t="shared" ca="1" si="15"/>
        <v>#N/A</v>
      </c>
      <c r="Y54" s="20" t="e">
        <f t="shared" ca="1" si="9"/>
        <v>#N/A</v>
      </c>
      <c r="Z54" s="20" t="e">
        <f t="shared" ca="1" si="10"/>
        <v>#N/A</v>
      </c>
      <c r="AA54" s="20" t="e">
        <f t="shared" ca="1" si="11"/>
        <v>#N/A</v>
      </c>
      <c r="AB54" s="20" t="e">
        <f t="shared" ca="1" si="16"/>
        <v>#N/A</v>
      </c>
      <c r="AC54" s="20" t="e">
        <f t="shared" ca="1" si="12"/>
        <v>#N/A</v>
      </c>
      <c r="AD54" s="20" t="e">
        <f t="shared" ca="1" si="13"/>
        <v>#N/A</v>
      </c>
      <c r="AE54" s="20" t="str">
        <f t="shared" ca="1" si="45"/>
        <v/>
      </c>
      <c r="AF54" s="20" t="str">
        <f t="shared" ca="1" si="46"/>
        <v/>
      </c>
      <c r="AG54" s="20" t="str">
        <f t="shared" si="47"/>
        <v>'ALL JOBS'!D60</v>
      </c>
      <c r="AH54" s="20" t="str">
        <f t="shared" si="48"/>
        <v>'ALL JOBS'!F60</v>
      </c>
      <c r="AJ54" s="20" t="e">
        <f ca="1">(OR(INDIRECT(L54)=MAX('ALL JOBS'!A:A),AJ53))</f>
        <v>#N/A</v>
      </c>
    </row>
    <row r="55" spans="1:36" ht="30" customHeight="1">
      <c r="A55" s="20" t="str">
        <f t="shared" ca="1" si="32"/>
        <v/>
      </c>
      <c r="B55" s="17" t="str">
        <f t="shared" ca="1" si="33"/>
        <v/>
      </c>
      <c r="C55" s="18" t="str">
        <f t="shared" ca="1" si="34"/>
        <v/>
      </c>
      <c r="D55" s="18" t="str">
        <f t="shared" ca="1" si="35"/>
        <v/>
      </c>
      <c r="E55" s="18" t="str">
        <f t="shared" ca="1" si="36"/>
        <v/>
      </c>
      <c r="F55" s="19" t="str">
        <f t="shared" ca="1" si="37"/>
        <v/>
      </c>
      <c r="G55" s="20" t="str">
        <f ca="1">IF($C$1="ALL",IF(INDIRECT(AH55)="","",IF(INDIRECT(AG55)&gt;MAX(Budget!$B$3,Budget!$E$3),"","Y")),IF(ISERR(FIND($C$1,INDIRECT(AH55))),"",IF(INDIRECT(AG55)&gt;MAX(Budget!$B$3,Budget!$E$3),"","Y")))</f>
        <v/>
      </c>
      <c r="H55" s="20">
        <f t="shared" si="38"/>
        <v>55</v>
      </c>
      <c r="I55" s="20" t="e">
        <f t="shared" ca="1" si="39"/>
        <v>#N/A</v>
      </c>
      <c r="J55" s="20" t="e">
        <f t="shared" ca="1" si="40"/>
        <v>#N/A</v>
      </c>
      <c r="K55" s="20" t="e">
        <f ca="1">CONCATENATE("G",J54+1,":I",'ALL JOBS'!$K$9)</f>
        <v>#N/A</v>
      </c>
      <c r="L55" s="20" t="e">
        <f t="shared" ca="1" si="14"/>
        <v>#N/A</v>
      </c>
      <c r="M55" s="20" t="e">
        <f t="shared" ca="1" si="3"/>
        <v>#N/A</v>
      </c>
      <c r="N55" s="20" t="e">
        <f t="shared" ca="1" si="4"/>
        <v>#N/A</v>
      </c>
      <c r="O55" s="20" t="e">
        <f t="shared" ca="1" si="5"/>
        <v>#N/A</v>
      </c>
      <c r="P55" s="20" t="e">
        <f t="shared" ca="1" si="6"/>
        <v>#N/A</v>
      </c>
      <c r="Q55" s="20" t="e">
        <f t="shared" ca="1" si="7"/>
        <v>#N/A</v>
      </c>
      <c r="R55" s="20" t="e">
        <f t="shared" ca="1" si="8"/>
        <v>#N/A</v>
      </c>
      <c r="S55" s="18" t="str">
        <f t="shared" ca="1" si="41"/>
        <v/>
      </c>
      <c r="T55" s="21" t="str">
        <f>IF($C$1="ALL",IF('ALL JOBS'!F61="","",IF('ALL JOBS'!D61&lt;=Budget!$B$3,"","Y")),IF(ISERR(FIND($C$1,'ALL JOBS'!F61)),IF($E$1="","",IF(ISERR(FIND($E$1,'ALL JOBS'!F61)),"",IF('ALL JOBS'!D61&lt;=Budget!$B$3,"","Y"))),IF('ALL JOBS'!D61&lt;=Budget!$B$3,"","Y")))</f>
        <v/>
      </c>
      <c r="U55" s="20">
        <f t="shared" si="42"/>
        <v>55</v>
      </c>
      <c r="V55" s="20" t="e">
        <f t="shared" ca="1" si="43"/>
        <v>#N/A</v>
      </c>
      <c r="W55" s="20" t="e">
        <f t="shared" ca="1" si="44"/>
        <v>#N/A</v>
      </c>
      <c r="X55" s="20" t="e">
        <f t="shared" ca="1" si="15"/>
        <v>#N/A</v>
      </c>
      <c r="Y55" s="20" t="e">
        <f t="shared" ca="1" si="9"/>
        <v>#N/A</v>
      </c>
      <c r="Z55" s="20" t="e">
        <f t="shared" ca="1" si="10"/>
        <v>#N/A</v>
      </c>
      <c r="AA55" s="20" t="e">
        <f t="shared" ca="1" si="11"/>
        <v>#N/A</v>
      </c>
      <c r="AB55" s="20" t="e">
        <f t="shared" ca="1" si="16"/>
        <v>#N/A</v>
      </c>
      <c r="AC55" s="20" t="e">
        <f t="shared" ca="1" si="12"/>
        <v>#N/A</v>
      </c>
      <c r="AD55" s="20" t="e">
        <f t="shared" ca="1" si="13"/>
        <v>#N/A</v>
      </c>
      <c r="AE55" s="20" t="str">
        <f t="shared" ca="1" si="45"/>
        <v/>
      </c>
      <c r="AF55" s="20" t="str">
        <f t="shared" ca="1" si="46"/>
        <v/>
      </c>
      <c r="AG55" s="20" t="str">
        <f t="shared" si="47"/>
        <v>'ALL JOBS'!D61</v>
      </c>
      <c r="AH55" s="20" t="str">
        <f t="shared" si="48"/>
        <v>'ALL JOBS'!F61</v>
      </c>
      <c r="AJ55" s="20" t="e">
        <f ca="1">(OR(INDIRECT(L55)=MAX('ALL JOBS'!A:A),AJ54))</f>
        <v>#N/A</v>
      </c>
    </row>
    <row r="56" spans="1:36" ht="30" customHeight="1">
      <c r="A56" s="20" t="str">
        <f t="shared" ca="1" si="32"/>
        <v/>
      </c>
      <c r="B56" s="17" t="str">
        <f t="shared" ca="1" si="33"/>
        <v/>
      </c>
      <c r="C56" s="18" t="str">
        <f t="shared" ca="1" si="34"/>
        <v/>
      </c>
      <c r="D56" s="18" t="str">
        <f t="shared" ca="1" si="35"/>
        <v/>
      </c>
      <c r="E56" s="18" t="str">
        <f t="shared" ca="1" si="36"/>
        <v/>
      </c>
      <c r="F56" s="19" t="str">
        <f t="shared" ca="1" si="37"/>
        <v/>
      </c>
      <c r="G56" s="20" t="str">
        <f ca="1">IF($C$1="ALL",IF(INDIRECT(AH56)="","",IF(INDIRECT(AG56)&gt;MAX(Budget!$B$3,Budget!$E$3),"","Y")),IF(ISERR(FIND($C$1,INDIRECT(AH56))),"",IF(INDIRECT(AG56)&gt;MAX(Budget!$B$3,Budget!$E$3),"","Y")))</f>
        <v/>
      </c>
      <c r="H56" s="20">
        <f t="shared" si="38"/>
        <v>56</v>
      </c>
      <c r="I56" s="20" t="e">
        <f t="shared" ca="1" si="39"/>
        <v>#N/A</v>
      </c>
      <c r="J56" s="20" t="e">
        <f t="shared" ca="1" si="40"/>
        <v>#N/A</v>
      </c>
      <c r="K56" s="20" t="e">
        <f ca="1">CONCATENATE("G",J55+1,":I",'ALL JOBS'!$K$9)</f>
        <v>#N/A</v>
      </c>
      <c r="L56" s="20" t="e">
        <f t="shared" ca="1" si="14"/>
        <v>#N/A</v>
      </c>
      <c r="M56" s="20" t="e">
        <f t="shared" ca="1" si="3"/>
        <v>#N/A</v>
      </c>
      <c r="N56" s="20" t="e">
        <f t="shared" ca="1" si="4"/>
        <v>#N/A</v>
      </c>
      <c r="O56" s="20" t="e">
        <f t="shared" ca="1" si="5"/>
        <v>#N/A</v>
      </c>
      <c r="P56" s="20" t="e">
        <f t="shared" ca="1" si="6"/>
        <v>#N/A</v>
      </c>
      <c r="Q56" s="20" t="e">
        <f t="shared" ca="1" si="7"/>
        <v>#N/A</v>
      </c>
      <c r="R56" s="20" t="e">
        <f t="shared" ca="1" si="8"/>
        <v>#N/A</v>
      </c>
      <c r="S56" s="18" t="str">
        <f t="shared" ca="1" si="41"/>
        <v/>
      </c>
      <c r="T56" s="21" t="str">
        <f>IF($C$1="ALL",IF('ALL JOBS'!F62="","",IF('ALL JOBS'!D62&lt;=Budget!$B$3,"","Y")),IF(ISERR(FIND($C$1,'ALL JOBS'!F62)),IF($E$1="","",IF(ISERR(FIND($E$1,'ALL JOBS'!F62)),"",IF('ALL JOBS'!D62&lt;=Budget!$B$3,"","Y"))),IF('ALL JOBS'!D62&lt;=Budget!$B$3,"","Y")))</f>
        <v/>
      </c>
      <c r="U56" s="20">
        <f t="shared" si="42"/>
        <v>56</v>
      </c>
      <c r="V56" s="20" t="e">
        <f t="shared" ca="1" si="43"/>
        <v>#N/A</v>
      </c>
      <c r="W56" s="20" t="e">
        <f t="shared" ca="1" si="44"/>
        <v>#N/A</v>
      </c>
      <c r="X56" s="20" t="e">
        <f t="shared" ca="1" si="15"/>
        <v>#N/A</v>
      </c>
      <c r="Y56" s="20" t="e">
        <f t="shared" ca="1" si="9"/>
        <v>#N/A</v>
      </c>
      <c r="Z56" s="20" t="e">
        <f t="shared" ca="1" si="10"/>
        <v>#N/A</v>
      </c>
      <c r="AA56" s="20" t="e">
        <f t="shared" ca="1" si="11"/>
        <v>#N/A</v>
      </c>
      <c r="AB56" s="20" t="e">
        <f t="shared" ca="1" si="16"/>
        <v>#N/A</v>
      </c>
      <c r="AC56" s="20" t="e">
        <f t="shared" ca="1" si="12"/>
        <v>#N/A</v>
      </c>
      <c r="AD56" s="20" t="e">
        <f t="shared" ca="1" si="13"/>
        <v>#N/A</v>
      </c>
      <c r="AE56" s="20" t="str">
        <f t="shared" ca="1" si="45"/>
        <v/>
      </c>
      <c r="AF56" s="20" t="str">
        <f t="shared" ca="1" si="46"/>
        <v/>
      </c>
      <c r="AG56" s="20" t="str">
        <f t="shared" si="47"/>
        <v>'ALL JOBS'!D62</v>
      </c>
      <c r="AH56" s="20" t="str">
        <f t="shared" si="48"/>
        <v>'ALL JOBS'!F62</v>
      </c>
      <c r="AJ56" s="20" t="e">
        <f ca="1">(OR(INDIRECT(L56)=MAX('ALL JOBS'!A:A),AJ55))</f>
        <v>#N/A</v>
      </c>
    </row>
    <row r="57" spans="1:36" ht="30" customHeight="1">
      <c r="A57" s="20" t="str">
        <f t="shared" ca="1" si="32"/>
        <v/>
      </c>
      <c r="B57" s="17" t="str">
        <f t="shared" ca="1" si="33"/>
        <v/>
      </c>
      <c r="C57" s="18" t="str">
        <f t="shared" ca="1" si="34"/>
        <v/>
      </c>
      <c r="D57" s="18" t="str">
        <f t="shared" ca="1" si="35"/>
        <v/>
      </c>
      <c r="E57" s="18" t="str">
        <f t="shared" ca="1" si="36"/>
        <v/>
      </c>
      <c r="F57" s="19" t="str">
        <f t="shared" ca="1" si="37"/>
        <v/>
      </c>
      <c r="G57" s="20" t="str">
        <f ca="1">IF($C$1="ALL",IF(INDIRECT(AH57)="","",IF(INDIRECT(AG57)&gt;MAX(Budget!$B$3,Budget!$E$3),"","Y")),IF(ISERR(FIND($C$1,INDIRECT(AH57))),"",IF(INDIRECT(AG57)&gt;MAX(Budget!$B$3,Budget!$E$3),"","Y")))</f>
        <v/>
      </c>
      <c r="H57" s="20">
        <f t="shared" si="38"/>
        <v>57</v>
      </c>
      <c r="I57" s="20" t="e">
        <f t="shared" ca="1" si="39"/>
        <v>#N/A</v>
      </c>
      <c r="J57" s="20" t="e">
        <f t="shared" ca="1" si="40"/>
        <v>#N/A</v>
      </c>
      <c r="K57" s="20" t="e">
        <f ca="1">CONCATENATE("G",J56+1,":I",'ALL JOBS'!$K$9)</f>
        <v>#N/A</v>
      </c>
      <c r="L57" s="20" t="e">
        <f t="shared" ca="1" si="14"/>
        <v>#N/A</v>
      </c>
      <c r="M57" s="20" t="e">
        <f t="shared" ca="1" si="3"/>
        <v>#N/A</v>
      </c>
      <c r="N57" s="20" t="e">
        <f t="shared" ca="1" si="4"/>
        <v>#N/A</v>
      </c>
      <c r="O57" s="20" t="e">
        <f t="shared" ca="1" si="5"/>
        <v>#N/A</v>
      </c>
      <c r="P57" s="20" t="e">
        <f t="shared" ca="1" si="6"/>
        <v>#N/A</v>
      </c>
      <c r="Q57" s="20" t="e">
        <f t="shared" ca="1" si="7"/>
        <v>#N/A</v>
      </c>
      <c r="R57" s="20" t="e">
        <f t="shared" ca="1" si="8"/>
        <v>#N/A</v>
      </c>
      <c r="S57" s="18" t="str">
        <f t="shared" ca="1" si="41"/>
        <v/>
      </c>
      <c r="T57" s="21" t="str">
        <f>IF($C$1="ALL",IF('ALL JOBS'!F63="","",IF('ALL JOBS'!D63&lt;=Budget!$B$3,"","Y")),IF(ISERR(FIND($C$1,'ALL JOBS'!F63)),IF($E$1="","",IF(ISERR(FIND($E$1,'ALL JOBS'!F63)),"",IF('ALL JOBS'!D63&lt;=Budget!$B$3,"","Y"))),IF('ALL JOBS'!D63&lt;=Budget!$B$3,"","Y")))</f>
        <v/>
      </c>
      <c r="U57" s="20">
        <f t="shared" si="42"/>
        <v>57</v>
      </c>
      <c r="V57" s="20" t="e">
        <f t="shared" ca="1" si="43"/>
        <v>#N/A</v>
      </c>
      <c r="W57" s="20" t="e">
        <f t="shared" ca="1" si="44"/>
        <v>#N/A</v>
      </c>
      <c r="X57" s="20" t="e">
        <f t="shared" ca="1" si="15"/>
        <v>#N/A</v>
      </c>
      <c r="Y57" s="20" t="e">
        <f t="shared" ca="1" si="9"/>
        <v>#N/A</v>
      </c>
      <c r="Z57" s="20" t="e">
        <f t="shared" ca="1" si="10"/>
        <v>#N/A</v>
      </c>
      <c r="AA57" s="20" t="e">
        <f t="shared" ca="1" si="11"/>
        <v>#N/A</v>
      </c>
      <c r="AB57" s="20" t="e">
        <f t="shared" ca="1" si="16"/>
        <v>#N/A</v>
      </c>
      <c r="AC57" s="20" t="e">
        <f t="shared" ca="1" si="12"/>
        <v>#N/A</v>
      </c>
      <c r="AD57" s="20" t="e">
        <f t="shared" ca="1" si="13"/>
        <v>#N/A</v>
      </c>
      <c r="AE57" s="20" t="str">
        <f t="shared" ca="1" si="45"/>
        <v/>
      </c>
      <c r="AF57" s="20" t="str">
        <f t="shared" ca="1" si="46"/>
        <v/>
      </c>
      <c r="AG57" s="20" t="str">
        <f t="shared" si="47"/>
        <v>'ALL JOBS'!D63</v>
      </c>
      <c r="AH57" s="20" t="str">
        <f t="shared" si="48"/>
        <v>'ALL JOBS'!F63</v>
      </c>
      <c r="AJ57" s="20" t="e">
        <f ca="1">(OR(INDIRECT(L57)=MAX('ALL JOBS'!A:A),AJ56))</f>
        <v>#N/A</v>
      </c>
    </row>
    <row r="58" spans="1:36" ht="30" customHeight="1">
      <c r="A58" s="20" t="str">
        <f t="shared" ca="1" si="32"/>
        <v/>
      </c>
      <c r="B58" s="17" t="str">
        <f t="shared" ca="1" si="33"/>
        <v/>
      </c>
      <c r="C58" s="18" t="str">
        <f t="shared" ca="1" si="34"/>
        <v/>
      </c>
      <c r="D58" s="18" t="str">
        <f t="shared" ca="1" si="35"/>
        <v/>
      </c>
      <c r="E58" s="18" t="str">
        <f t="shared" ca="1" si="36"/>
        <v/>
      </c>
      <c r="F58" s="19" t="str">
        <f t="shared" ca="1" si="37"/>
        <v/>
      </c>
      <c r="G58" s="20" t="str">
        <f ca="1">IF($C$1="ALL",IF(INDIRECT(AH58)="","",IF(INDIRECT(AG58)&gt;MAX(Budget!$B$3,Budget!$E$3),"","Y")),IF(ISERR(FIND($C$1,INDIRECT(AH58))),"",IF(INDIRECT(AG58)&gt;MAX(Budget!$B$3,Budget!$E$3),"","Y")))</f>
        <v/>
      </c>
      <c r="H58" s="20">
        <f t="shared" si="38"/>
        <v>58</v>
      </c>
      <c r="I58" s="20" t="e">
        <f t="shared" ca="1" si="39"/>
        <v>#N/A</v>
      </c>
      <c r="J58" s="20" t="e">
        <f t="shared" ca="1" si="40"/>
        <v>#N/A</v>
      </c>
      <c r="K58" s="20" t="e">
        <f ca="1">CONCATENATE("G",J57+1,":I",'ALL JOBS'!$K$9)</f>
        <v>#N/A</v>
      </c>
      <c r="L58" s="20" t="e">
        <f t="shared" ca="1" si="14"/>
        <v>#N/A</v>
      </c>
      <c r="M58" s="20" t="e">
        <f t="shared" ca="1" si="3"/>
        <v>#N/A</v>
      </c>
      <c r="N58" s="20" t="e">
        <f t="shared" ca="1" si="4"/>
        <v>#N/A</v>
      </c>
      <c r="O58" s="20" t="e">
        <f t="shared" ca="1" si="5"/>
        <v>#N/A</v>
      </c>
      <c r="P58" s="20" t="e">
        <f t="shared" ca="1" si="6"/>
        <v>#N/A</v>
      </c>
      <c r="Q58" s="20" t="e">
        <f t="shared" ca="1" si="7"/>
        <v>#N/A</v>
      </c>
      <c r="R58" s="20" t="e">
        <f t="shared" ca="1" si="8"/>
        <v>#N/A</v>
      </c>
      <c r="S58" s="18" t="str">
        <f t="shared" ca="1" si="41"/>
        <v/>
      </c>
      <c r="T58" s="21" t="str">
        <f>IF($C$1="ALL",IF('ALL JOBS'!F64="","",IF('ALL JOBS'!D64&lt;=Budget!$B$3,"","Y")),IF(ISERR(FIND($C$1,'ALL JOBS'!F64)),IF($E$1="","",IF(ISERR(FIND($E$1,'ALL JOBS'!F64)),"",IF('ALL JOBS'!D64&lt;=Budget!$B$3,"","Y"))),IF('ALL JOBS'!D64&lt;=Budget!$B$3,"","Y")))</f>
        <v/>
      </c>
      <c r="U58" s="20">
        <f t="shared" si="42"/>
        <v>58</v>
      </c>
      <c r="V58" s="20" t="e">
        <f t="shared" ca="1" si="43"/>
        <v>#N/A</v>
      </c>
      <c r="W58" s="20" t="e">
        <f t="shared" ca="1" si="44"/>
        <v>#N/A</v>
      </c>
      <c r="X58" s="20" t="e">
        <f t="shared" ca="1" si="15"/>
        <v>#N/A</v>
      </c>
      <c r="Y58" s="20" t="e">
        <f t="shared" ca="1" si="9"/>
        <v>#N/A</v>
      </c>
      <c r="Z58" s="20" t="e">
        <f t="shared" ca="1" si="10"/>
        <v>#N/A</v>
      </c>
      <c r="AA58" s="20" t="e">
        <f t="shared" ca="1" si="11"/>
        <v>#N/A</v>
      </c>
      <c r="AB58" s="20" t="e">
        <f t="shared" ca="1" si="16"/>
        <v>#N/A</v>
      </c>
      <c r="AC58" s="20" t="e">
        <f t="shared" ca="1" si="12"/>
        <v>#N/A</v>
      </c>
      <c r="AD58" s="20" t="e">
        <f t="shared" ca="1" si="13"/>
        <v>#N/A</v>
      </c>
      <c r="AE58" s="20" t="str">
        <f t="shared" ca="1" si="45"/>
        <v/>
      </c>
      <c r="AF58" s="20" t="str">
        <f t="shared" ca="1" si="46"/>
        <v/>
      </c>
      <c r="AG58" s="20" t="str">
        <f t="shared" si="47"/>
        <v>'ALL JOBS'!D64</v>
      </c>
      <c r="AH58" s="20" t="str">
        <f t="shared" si="48"/>
        <v>'ALL JOBS'!F64</v>
      </c>
      <c r="AJ58" s="20" t="e">
        <f ca="1">(OR(INDIRECT(L58)=MAX('ALL JOBS'!A:A),AJ57))</f>
        <v>#N/A</v>
      </c>
    </row>
    <row r="59" spans="1:36" ht="30" customHeight="1">
      <c r="A59" s="20" t="str">
        <f t="shared" ca="1" si="32"/>
        <v/>
      </c>
      <c r="B59" s="17" t="str">
        <f t="shared" ca="1" si="33"/>
        <v/>
      </c>
      <c r="C59" s="18" t="str">
        <f t="shared" ca="1" si="34"/>
        <v/>
      </c>
      <c r="D59" s="18" t="str">
        <f t="shared" ca="1" si="35"/>
        <v/>
      </c>
      <c r="E59" s="18" t="str">
        <f t="shared" ca="1" si="36"/>
        <v/>
      </c>
      <c r="F59" s="19" t="str">
        <f t="shared" ca="1" si="37"/>
        <v/>
      </c>
      <c r="G59" s="20" t="str">
        <f ca="1">IF($C$1="ALL",IF(INDIRECT(AH59)="","",IF(INDIRECT(AG59)&gt;MAX(Budget!$B$3,Budget!$E$3),"","Y")),IF(ISERR(FIND($C$1,INDIRECT(AH59))),"",IF(INDIRECT(AG59)&gt;MAX(Budget!$B$3,Budget!$E$3),"","Y")))</f>
        <v/>
      </c>
      <c r="H59" s="20">
        <f t="shared" si="38"/>
        <v>59</v>
      </c>
      <c r="I59" s="20" t="e">
        <f t="shared" ca="1" si="39"/>
        <v>#N/A</v>
      </c>
      <c r="J59" s="20" t="e">
        <f t="shared" ca="1" si="40"/>
        <v>#N/A</v>
      </c>
      <c r="K59" s="20" t="e">
        <f ca="1">CONCATENATE("G",J58+1,":I",'ALL JOBS'!$K$9)</f>
        <v>#N/A</v>
      </c>
      <c r="L59" s="20" t="e">
        <f t="shared" ca="1" si="14"/>
        <v>#N/A</v>
      </c>
      <c r="M59" s="20" t="e">
        <f t="shared" ca="1" si="3"/>
        <v>#N/A</v>
      </c>
      <c r="N59" s="20" t="e">
        <f t="shared" ca="1" si="4"/>
        <v>#N/A</v>
      </c>
      <c r="O59" s="20" t="e">
        <f t="shared" ca="1" si="5"/>
        <v>#N/A</v>
      </c>
      <c r="P59" s="20" t="e">
        <f t="shared" ca="1" si="6"/>
        <v>#N/A</v>
      </c>
      <c r="Q59" s="20" t="e">
        <f t="shared" ca="1" si="7"/>
        <v>#N/A</v>
      </c>
      <c r="R59" s="20" t="e">
        <f t="shared" ca="1" si="8"/>
        <v>#N/A</v>
      </c>
      <c r="S59" s="18" t="str">
        <f t="shared" ca="1" si="41"/>
        <v/>
      </c>
      <c r="T59" s="21" t="str">
        <f>IF($C$1="ALL",IF('ALL JOBS'!F65="","",IF('ALL JOBS'!D65&lt;=Budget!$B$3,"","Y")),IF(ISERR(FIND($C$1,'ALL JOBS'!F65)),IF($E$1="","",IF(ISERR(FIND($E$1,'ALL JOBS'!F65)),"",IF('ALL JOBS'!D65&lt;=Budget!$B$3,"","Y"))),IF('ALL JOBS'!D65&lt;=Budget!$B$3,"","Y")))</f>
        <v/>
      </c>
      <c r="U59" s="20">
        <f t="shared" si="42"/>
        <v>59</v>
      </c>
      <c r="V59" s="20" t="e">
        <f t="shared" ca="1" si="43"/>
        <v>#N/A</v>
      </c>
      <c r="W59" s="20" t="e">
        <f t="shared" ca="1" si="44"/>
        <v>#N/A</v>
      </c>
      <c r="X59" s="20" t="e">
        <f t="shared" ca="1" si="15"/>
        <v>#N/A</v>
      </c>
      <c r="Y59" s="20" t="e">
        <f t="shared" ca="1" si="9"/>
        <v>#N/A</v>
      </c>
      <c r="Z59" s="20" t="e">
        <f t="shared" ca="1" si="10"/>
        <v>#N/A</v>
      </c>
      <c r="AA59" s="20" t="e">
        <f t="shared" ca="1" si="11"/>
        <v>#N/A</v>
      </c>
      <c r="AB59" s="20" t="e">
        <f t="shared" ca="1" si="16"/>
        <v>#N/A</v>
      </c>
      <c r="AC59" s="20" t="e">
        <f t="shared" ca="1" si="12"/>
        <v>#N/A</v>
      </c>
      <c r="AD59" s="20" t="e">
        <f t="shared" ca="1" si="13"/>
        <v>#N/A</v>
      </c>
      <c r="AE59" s="20" t="str">
        <f t="shared" ca="1" si="45"/>
        <v/>
      </c>
      <c r="AF59" s="20" t="str">
        <f t="shared" ca="1" si="46"/>
        <v/>
      </c>
      <c r="AG59" s="20" t="str">
        <f t="shared" si="47"/>
        <v>'ALL JOBS'!D65</v>
      </c>
      <c r="AH59" s="20" t="str">
        <f t="shared" si="48"/>
        <v>'ALL JOBS'!F65</v>
      </c>
      <c r="AJ59" s="20" t="e">
        <f ca="1">(OR(INDIRECT(L59)=MAX('ALL JOBS'!A:A),AJ58))</f>
        <v>#N/A</v>
      </c>
    </row>
    <row r="60" spans="1:36" ht="30" customHeight="1">
      <c r="A60" s="20" t="str">
        <f t="shared" ca="1" si="32"/>
        <v/>
      </c>
      <c r="B60" s="17" t="str">
        <f t="shared" ca="1" si="33"/>
        <v/>
      </c>
      <c r="C60" s="18" t="str">
        <f t="shared" ca="1" si="34"/>
        <v/>
      </c>
      <c r="D60" s="18" t="str">
        <f t="shared" ca="1" si="35"/>
        <v/>
      </c>
      <c r="E60" s="18" t="str">
        <f t="shared" ca="1" si="36"/>
        <v/>
      </c>
      <c r="F60" s="19" t="str">
        <f t="shared" ca="1" si="37"/>
        <v/>
      </c>
      <c r="G60" s="20" t="str">
        <f ca="1">IF($C$1="ALL",IF(INDIRECT(AH60)="","",IF(INDIRECT(AG60)&gt;MAX(Budget!$B$3,Budget!$E$3),"","Y")),IF(ISERR(FIND($C$1,INDIRECT(AH60))),"",IF(INDIRECT(AG60)&gt;MAX(Budget!$B$3,Budget!$E$3),"","Y")))</f>
        <v/>
      </c>
      <c r="H60" s="20">
        <f t="shared" si="38"/>
        <v>60</v>
      </c>
      <c r="I60" s="20" t="e">
        <f t="shared" ca="1" si="39"/>
        <v>#N/A</v>
      </c>
      <c r="J60" s="20" t="e">
        <f t="shared" ca="1" si="40"/>
        <v>#N/A</v>
      </c>
      <c r="K60" s="20" t="e">
        <f ca="1">CONCATENATE("G",J59+1,":I",'ALL JOBS'!$K$9)</f>
        <v>#N/A</v>
      </c>
      <c r="L60" s="20" t="e">
        <f t="shared" ca="1" si="14"/>
        <v>#N/A</v>
      </c>
      <c r="M60" s="20" t="e">
        <f t="shared" ca="1" si="3"/>
        <v>#N/A</v>
      </c>
      <c r="N60" s="20" t="e">
        <f t="shared" ca="1" si="4"/>
        <v>#N/A</v>
      </c>
      <c r="O60" s="20" t="e">
        <f t="shared" ca="1" si="5"/>
        <v>#N/A</v>
      </c>
      <c r="P60" s="20" t="e">
        <f t="shared" ca="1" si="6"/>
        <v>#N/A</v>
      </c>
      <c r="Q60" s="20" t="e">
        <f t="shared" ca="1" si="7"/>
        <v>#N/A</v>
      </c>
      <c r="R60" s="20" t="e">
        <f t="shared" ca="1" si="8"/>
        <v>#N/A</v>
      </c>
      <c r="S60" s="18" t="str">
        <f t="shared" ca="1" si="41"/>
        <v/>
      </c>
      <c r="T60" s="21" t="str">
        <f>IF($C$1="ALL",IF('ALL JOBS'!F66="","",IF('ALL JOBS'!D66&lt;=Budget!$B$3,"","Y")),IF(ISERR(FIND($C$1,'ALL JOBS'!F66)),IF($E$1="","",IF(ISERR(FIND($E$1,'ALL JOBS'!F66)),"",IF('ALL JOBS'!D66&lt;=Budget!$B$3,"","Y"))),IF('ALL JOBS'!D66&lt;=Budget!$B$3,"","Y")))</f>
        <v/>
      </c>
      <c r="U60" s="20">
        <f t="shared" si="42"/>
        <v>60</v>
      </c>
      <c r="V60" s="20" t="e">
        <f t="shared" ca="1" si="43"/>
        <v>#N/A</v>
      </c>
      <c r="W60" s="20" t="e">
        <f t="shared" ca="1" si="44"/>
        <v>#N/A</v>
      </c>
      <c r="X60" s="20" t="e">
        <f t="shared" ca="1" si="15"/>
        <v>#N/A</v>
      </c>
      <c r="Y60" s="20" t="e">
        <f t="shared" ca="1" si="9"/>
        <v>#N/A</v>
      </c>
      <c r="Z60" s="20" t="e">
        <f t="shared" ca="1" si="10"/>
        <v>#N/A</v>
      </c>
      <c r="AA60" s="20" t="e">
        <f t="shared" ca="1" si="11"/>
        <v>#N/A</v>
      </c>
      <c r="AB60" s="20" t="e">
        <f t="shared" ca="1" si="16"/>
        <v>#N/A</v>
      </c>
      <c r="AC60" s="20" t="e">
        <f t="shared" ca="1" si="12"/>
        <v>#N/A</v>
      </c>
      <c r="AD60" s="20" t="e">
        <f t="shared" ca="1" si="13"/>
        <v>#N/A</v>
      </c>
      <c r="AE60" s="20" t="str">
        <f t="shared" ca="1" si="45"/>
        <v/>
      </c>
      <c r="AF60" s="20" t="str">
        <f t="shared" ca="1" si="46"/>
        <v/>
      </c>
      <c r="AG60" s="20" t="str">
        <f t="shared" si="47"/>
        <v>'ALL JOBS'!D66</v>
      </c>
      <c r="AH60" s="20" t="str">
        <f t="shared" si="48"/>
        <v>'ALL JOBS'!F66</v>
      </c>
      <c r="AJ60" s="20" t="e">
        <f ca="1">(OR(INDIRECT(L60)=MAX('ALL JOBS'!A:A),AJ59))</f>
        <v>#N/A</v>
      </c>
    </row>
    <row r="61" spans="1:36" ht="30" customHeight="1">
      <c r="A61" s="20" t="str">
        <f t="shared" ca="1" si="32"/>
        <v/>
      </c>
      <c r="B61" s="17" t="str">
        <f t="shared" ca="1" si="33"/>
        <v/>
      </c>
      <c r="C61" s="18" t="str">
        <f t="shared" ca="1" si="34"/>
        <v/>
      </c>
      <c r="D61" s="18" t="str">
        <f t="shared" ca="1" si="35"/>
        <v/>
      </c>
      <c r="E61" s="18" t="str">
        <f t="shared" ca="1" si="36"/>
        <v/>
      </c>
      <c r="F61" s="19" t="str">
        <f t="shared" ca="1" si="37"/>
        <v/>
      </c>
      <c r="G61" s="20" t="str">
        <f ca="1">IF($C$1="ALL",IF(INDIRECT(AH61)="","",IF(INDIRECT(AG61)&gt;MAX(Budget!$B$3,Budget!$E$3),"","Y")),IF(ISERR(FIND($C$1,INDIRECT(AH61))),"",IF(INDIRECT(AG61)&gt;MAX(Budget!$B$3,Budget!$E$3),"","Y")))</f>
        <v/>
      </c>
      <c r="H61" s="20">
        <f t="shared" si="38"/>
        <v>61</v>
      </c>
      <c r="I61" s="20" t="e">
        <f t="shared" ca="1" si="39"/>
        <v>#N/A</v>
      </c>
      <c r="J61" s="20" t="e">
        <f t="shared" ca="1" si="40"/>
        <v>#N/A</v>
      </c>
      <c r="K61" s="20" t="e">
        <f ca="1">CONCATENATE("G",J60+1,":I",'ALL JOBS'!$K$9)</f>
        <v>#N/A</v>
      </c>
      <c r="L61" s="20" t="e">
        <f t="shared" ca="1" si="14"/>
        <v>#N/A</v>
      </c>
      <c r="M61" s="20" t="e">
        <f t="shared" ca="1" si="3"/>
        <v>#N/A</v>
      </c>
      <c r="N61" s="20" t="e">
        <f t="shared" ca="1" si="4"/>
        <v>#N/A</v>
      </c>
      <c r="O61" s="20" t="e">
        <f t="shared" ca="1" si="5"/>
        <v>#N/A</v>
      </c>
      <c r="P61" s="20" t="e">
        <f t="shared" ca="1" si="6"/>
        <v>#N/A</v>
      </c>
      <c r="Q61" s="20" t="e">
        <f t="shared" ca="1" si="7"/>
        <v>#N/A</v>
      </c>
      <c r="R61" s="20" t="e">
        <f t="shared" ca="1" si="8"/>
        <v>#N/A</v>
      </c>
      <c r="S61" s="18" t="str">
        <f t="shared" ca="1" si="41"/>
        <v/>
      </c>
      <c r="T61" s="21" t="str">
        <f>IF($C$1="ALL",IF('ALL JOBS'!F67="","",IF('ALL JOBS'!D67&lt;=Budget!$B$3,"","Y")),IF(ISERR(FIND($C$1,'ALL JOBS'!F67)),IF($E$1="","",IF(ISERR(FIND($E$1,'ALL JOBS'!F67)),"",IF('ALL JOBS'!D67&lt;=Budget!$B$3,"","Y"))),IF('ALL JOBS'!D67&lt;=Budget!$B$3,"","Y")))</f>
        <v/>
      </c>
      <c r="U61" s="20">
        <f t="shared" si="42"/>
        <v>61</v>
      </c>
      <c r="V61" s="20" t="e">
        <f t="shared" ca="1" si="43"/>
        <v>#N/A</v>
      </c>
      <c r="W61" s="20" t="e">
        <f t="shared" ca="1" si="44"/>
        <v>#N/A</v>
      </c>
      <c r="X61" s="20" t="e">
        <f t="shared" ca="1" si="15"/>
        <v>#N/A</v>
      </c>
      <c r="Y61" s="20" t="e">
        <f t="shared" ca="1" si="9"/>
        <v>#N/A</v>
      </c>
      <c r="Z61" s="20" t="e">
        <f t="shared" ca="1" si="10"/>
        <v>#N/A</v>
      </c>
      <c r="AA61" s="20" t="e">
        <f t="shared" ca="1" si="11"/>
        <v>#N/A</v>
      </c>
      <c r="AB61" s="20" t="e">
        <f t="shared" ca="1" si="16"/>
        <v>#N/A</v>
      </c>
      <c r="AC61" s="20" t="e">
        <f t="shared" ca="1" si="12"/>
        <v>#N/A</v>
      </c>
      <c r="AD61" s="20" t="e">
        <f t="shared" ca="1" si="13"/>
        <v>#N/A</v>
      </c>
      <c r="AE61" s="20" t="str">
        <f t="shared" ca="1" si="45"/>
        <v/>
      </c>
      <c r="AF61" s="20" t="str">
        <f t="shared" ca="1" si="46"/>
        <v/>
      </c>
      <c r="AG61" s="20" t="str">
        <f t="shared" si="47"/>
        <v>'ALL JOBS'!D67</v>
      </c>
      <c r="AH61" s="20" t="str">
        <f t="shared" si="48"/>
        <v>'ALL JOBS'!F67</v>
      </c>
      <c r="AJ61" s="20" t="e">
        <f ca="1">(OR(INDIRECT(L61)=MAX('ALL JOBS'!A:A),AJ60))</f>
        <v>#N/A</v>
      </c>
    </row>
    <row r="62" spans="1:36" ht="30" customHeight="1">
      <c r="A62" s="20" t="str">
        <f t="shared" ca="1" si="32"/>
        <v/>
      </c>
      <c r="B62" s="17" t="str">
        <f t="shared" ca="1" si="33"/>
        <v/>
      </c>
      <c r="C62" s="18" t="str">
        <f t="shared" ca="1" si="34"/>
        <v/>
      </c>
      <c r="D62" s="18" t="str">
        <f t="shared" ca="1" si="35"/>
        <v/>
      </c>
      <c r="E62" s="18" t="str">
        <f t="shared" ca="1" si="36"/>
        <v/>
      </c>
      <c r="F62" s="19" t="str">
        <f t="shared" ca="1" si="37"/>
        <v/>
      </c>
      <c r="G62" s="20" t="str">
        <f ca="1">IF($C$1="ALL",IF(INDIRECT(AH62)="","",IF(INDIRECT(AG62)&gt;MAX(Budget!$B$3,Budget!$E$3),"","Y")),IF(ISERR(FIND($C$1,INDIRECT(AH62))),"",IF(INDIRECT(AG62)&gt;MAX(Budget!$B$3,Budget!$E$3),"","Y")))</f>
        <v/>
      </c>
      <c r="H62" s="20">
        <f t="shared" si="38"/>
        <v>62</v>
      </c>
      <c r="I62" s="20" t="e">
        <f t="shared" ca="1" si="39"/>
        <v>#N/A</v>
      </c>
      <c r="J62" s="20" t="e">
        <f t="shared" ca="1" si="40"/>
        <v>#N/A</v>
      </c>
      <c r="K62" s="20" t="e">
        <f ca="1">CONCATENATE("G",J61+1,":I",'ALL JOBS'!$K$9)</f>
        <v>#N/A</v>
      </c>
      <c r="L62" s="20" t="e">
        <f t="shared" ca="1" si="14"/>
        <v>#N/A</v>
      </c>
      <c r="M62" s="20" t="e">
        <f t="shared" ca="1" si="3"/>
        <v>#N/A</v>
      </c>
      <c r="N62" s="20" t="e">
        <f t="shared" ca="1" si="4"/>
        <v>#N/A</v>
      </c>
      <c r="O62" s="20" t="e">
        <f t="shared" ca="1" si="5"/>
        <v>#N/A</v>
      </c>
      <c r="P62" s="20" t="e">
        <f t="shared" ca="1" si="6"/>
        <v>#N/A</v>
      </c>
      <c r="Q62" s="20" t="e">
        <f t="shared" ca="1" si="7"/>
        <v>#N/A</v>
      </c>
      <c r="R62" s="20" t="e">
        <f t="shared" ca="1" si="8"/>
        <v>#N/A</v>
      </c>
      <c r="S62" s="18" t="str">
        <f t="shared" ca="1" si="41"/>
        <v/>
      </c>
      <c r="T62" s="21" t="str">
        <f>IF($C$1="ALL",IF('ALL JOBS'!F68="","",IF('ALL JOBS'!D68&lt;=Budget!$B$3,"","Y")),IF(ISERR(FIND($C$1,'ALL JOBS'!F68)),IF($E$1="","",IF(ISERR(FIND($E$1,'ALL JOBS'!F68)),"",IF('ALL JOBS'!D68&lt;=Budget!$B$3,"","Y"))),IF('ALL JOBS'!D68&lt;=Budget!$B$3,"","Y")))</f>
        <v/>
      </c>
      <c r="U62" s="20">
        <f t="shared" si="42"/>
        <v>62</v>
      </c>
      <c r="V62" s="20" t="e">
        <f t="shared" ca="1" si="43"/>
        <v>#N/A</v>
      </c>
      <c r="W62" s="20" t="e">
        <f t="shared" ca="1" si="44"/>
        <v>#N/A</v>
      </c>
      <c r="X62" s="20" t="e">
        <f t="shared" ca="1" si="15"/>
        <v>#N/A</v>
      </c>
      <c r="Y62" s="20" t="e">
        <f t="shared" ca="1" si="9"/>
        <v>#N/A</v>
      </c>
      <c r="Z62" s="20" t="e">
        <f t="shared" ca="1" si="10"/>
        <v>#N/A</v>
      </c>
      <c r="AA62" s="20" t="e">
        <f t="shared" ca="1" si="11"/>
        <v>#N/A</v>
      </c>
      <c r="AB62" s="20" t="e">
        <f t="shared" ca="1" si="16"/>
        <v>#N/A</v>
      </c>
      <c r="AC62" s="20" t="e">
        <f t="shared" ca="1" si="12"/>
        <v>#N/A</v>
      </c>
      <c r="AD62" s="20" t="e">
        <f t="shared" ca="1" si="13"/>
        <v>#N/A</v>
      </c>
      <c r="AE62" s="20" t="str">
        <f t="shared" ca="1" si="45"/>
        <v/>
      </c>
      <c r="AF62" s="20" t="str">
        <f t="shared" ca="1" si="46"/>
        <v/>
      </c>
      <c r="AG62" s="20" t="str">
        <f t="shared" si="47"/>
        <v>'ALL JOBS'!D68</v>
      </c>
      <c r="AH62" s="20" t="str">
        <f t="shared" si="48"/>
        <v>'ALL JOBS'!F68</v>
      </c>
      <c r="AJ62" s="20" t="e">
        <f ca="1">(OR(INDIRECT(L62)=MAX('ALL JOBS'!A:A),AJ61))</f>
        <v>#N/A</v>
      </c>
    </row>
    <row r="63" spans="1:36" ht="30" customHeight="1">
      <c r="A63" s="20" t="str">
        <f t="shared" ca="1" si="32"/>
        <v/>
      </c>
      <c r="B63" s="17" t="str">
        <f t="shared" ca="1" si="33"/>
        <v/>
      </c>
      <c r="C63" s="18" t="str">
        <f t="shared" ca="1" si="34"/>
        <v/>
      </c>
      <c r="D63" s="18" t="str">
        <f t="shared" ca="1" si="35"/>
        <v/>
      </c>
      <c r="E63" s="18" t="str">
        <f t="shared" ca="1" si="36"/>
        <v/>
      </c>
      <c r="F63" s="19" t="str">
        <f t="shared" ca="1" si="37"/>
        <v/>
      </c>
      <c r="G63" s="20" t="str">
        <f ca="1">IF($C$1="ALL",IF(INDIRECT(AH63)="","",IF(INDIRECT(AG63)&gt;MAX(Budget!$B$3,Budget!$E$3),"","Y")),IF(ISERR(FIND($C$1,INDIRECT(AH63))),"",IF(INDIRECT(AG63)&gt;MAX(Budget!$B$3,Budget!$E$3),"","Y")))</f>
        <v/>
      </c>
      <c r="H63" s="20">
        <f t="shared" si="38"/>
        <v>63</v>
      </c>
      <c r="I63" s="20" t="e">
        <f t="shared" ca="1" si="39"/>
        <v>#N/A</v>
      </c>
      <c r="J63" s="20" t="e">
        <f t="shared" ca="1" si="40"/>
        <v>#N/A</v>
      </c>
      <c r="K63" s="20" t="e">
        <f ca="1">CONCATENATE("G",J62+1,":I",'ALL JOBS'!$K$9)</f>
        <v>#N/A</v>
      </c>
      <c r="L63" s="20" t="e">
        <f t="shared" ca="1" si="14"/>
        <v>#N/A</v>
      </c>
      <c r="M63" s="20" t="e">
        <f t="shared" ca="1" si="3"/>
        <v>#N/A</v>
      </c>
      <c r="N63" s="20" t="e">
        <f t="shared" ca="1" si="4"/>
        <v>#N/A</v>
      </c>
      <c r="O63" s="20" t="e">
        <f t="shared" ca="1" si="5"/>
        <v>#N/A</v>
      </c>
      <c r="P63" s="20" t="e">
        <f t="shared" ca="1" si="6"/>
        <v>#N/A</v>
      </c>
      <c r="Q63" s="20" t="e">
        <f t="shared" ca="1" si="7"/>
        <v>#N/A</v>
      </c>
      <c r="R63" s="20" t="e">
        <f t="shared" ca="1" si="8"/>
        <v>#N/A</v>
      </c>
      <c r="S63" s="18" t="str">
        <f t="shared" ca="1" si="41"/>
        <v/>
      </c>
      <c r="T63" s="21" t="str">
        <f>IF($C$1="ALL",IF('ALL JOBS'!F69="","",IF('ALL JOBS'!D69&lt;=Budget!$B$3,"","Y")),IF(ISERR(FIND($C$1,'ALL JOBS'!F69)),IF($E$1="","",IF(ISERR(FIND($E$1,'ALL JOBS'!F69)),"",IF('ALL JOBS'!D69&lt;=Budget!$B$3,"","Y"))),IF('ALL JOBS'!D69&lt;=Budget!$B$3,"","Y")))</f>
        <v/>
      </c>
      <c r="U63" s="20">
        <f t="shared" si="42"/>
        <v>63</v>
      </c>
      <c r="V63" s="20" t="e">
        <f t="shared" ca="1" si="43"/>
        <v>#N/A</v>
      </c>
      <c r="W63" s="20" t="e">
        <f t="shared" ca="1" si="44"/>
        <v>#N/A</v>
      </c>
      <c r="X63" s="20" t="e">
        <f t="shared" ca="1" si="15"/>
        <v>#N/A</v>
      </c>
      <c r="Y63" s="20" t="e">
        <f t="shared" ca="1" si="9"/>
        <v>#N/A</v>
      </c>
      <c r="Z63" s="20" t="e">
        <f t="shared" ca="1" si="10"/>
        <v>#N/A</v>
      </c>
      <c r="AA63" s="20" t="e">
        <f t="shared" ca="1" si="11"/>
        <v>#N/A</v>
      </c>
      <c r="AB63" s="20" t="e">
        <f t="shared" ca="1" si="16"/>
        <v>#N/A</v>
      </c>
      <c r="AC63" s="20" t="e">
        <f t="shared" ca="1" si="12"/>
        <v>#N/A</v>
      </c>
      <c r="AD63" s="20" t="e">
        <f t="shared" ca="1" si="13"/>
        <v>#N/A</v>
      </c>
      <c r="AE63" s="20" t="str">
        <f t="shared" ca="1" si="45"/>
        <v/>
      </c>
      <c r="AF63" s="20" t="str">
        <f t="shared" ca="1" si="46"/>
        <v/>
      </c>
      <c r="AG63" s="20" t="str">
        <f t="shared" si="47"/>
        <v>'ALL JOBS'!D69</v>
      </c>
      <c r="AH63" s="20" t="str">
        <f t="shared" si="48"/>
        <v>'ALL JOBS'!F69</v>
      </c>
      <c r="AJ63" s="20" t="e">
        <f ca="1">(OR(INDIRECT(L63)=MAX('ALL JOBS'!A:A),AJ62))</f>
        <v>#N/A</v>
      </c>
    </row>
    <row r="64" spans="1:36" ht="30" customHeight="1">
      <c r="A64" s="20" t="str">
        <f t="shared" ca="1" si="32"/>
        <v/>
      </c>
      <c r="B64" s="17" t="str">
        <f t="shared" ca="1" si="33"/>
        <v/>
      </c>
      <c r="C64" s="18" t="str">
        <f t="shared" ca="1" si="34"/>
        <v/>
      </c>
      <c r="D64" s="18" t="str">
        <f t="shared" ca="1" si="35"/>
        <v/>
      </c>
      <c r="E64" s="18" t="str">
        <f t="shared" ca="1" si="36"/>
        <v/>
      </c>
      <c r="F64" s="19" t="str">
        <f t="shared" ca="1" si="37"/>
        <v/>
      </c>
      <c r="G64" s="20" t="str">
        <f ca="1">IF($C$1="ALL",IF(INDIRECT(AH64)="","",IF(INDIRECT(AG64)&gt;MAX(Budget!$B$3,Budget!$E$3),"","Y")),IF(ISERR(FIND($C$1,INDIRECT(AH64))),"",IF(INDIRECT(AG64)&gt;MAX(Budget!$B$3,Budget!$E$3),"","Y")))</f>
        <v/>
      </c>
      <c r="H64" s="20">
        <f t="shared" si="38"/>
        <v>64</v>
      </c>
      <c r="I64" s="20" t="e">
        <f t="shared" ca="1" si="39"/>
        <v>#N/A</v>
      </c>
      <c r="J64" s="20" t="e">
        <f t="shared" ca="1" si="40"/>
        <v>#N/A</v>
      </c>
      <c r="K64" s="20" t="e">
        <f ca="1">CONCATENATE("G",J63+1,":I",'ALL JOBS'!$K$9)</f>
        <v>#N/A</v>
      </c>
      <c r="L64" s="20" t="e">
        <f t="shared" ca="1" si="14"/>
        <v>#N/A</v>
      </c>
      <c r="M64" s="20" t="e">
        <f t="shared" ca="1" si="3"/>
        <v>#N/A</v>
      </c>
      <c r="N64" s="20" t="e">
        <f t="shared" ca="1" si="4"/>
        <v>#N/A</v>
      </c>
      <c r="O64" s="20" t="e">
        <f t="shared" ca="1" si="5"/>
        <v>#N/A</v>
      </c>
      <c r="P64" s="20" t="e">
        <f t="shared" ca="1" si="6"/>
        <v>#N/A</v>
      </c>
      <c r="Q64" s="20" t="e">
        <f t="shared" ca="1" si="7"/>
        <v>#N/A</v>
      </c>
      <c r="R64" s="20" t="e">
        <f t="shared" ca="1" si="8"/>
        <v>#N/A</v>
      </c>
      <c r="S64" s="18" t="str">
        <f t="shared" ca="1" si="41"/>
        <v/>
      </c>
      <c r="T64" s="21" t="str">
        <f>IF($C$1="ALL",IF('ALL JOBS'!F70="","",IF('ALL JOBS'!D70&lt;=Budget!$B$3,"","Y")),IF(ISERR(FIND($C$1,'ALL JOBS'!F70)),IF($E$1="","",IF(ISERR(FIND($E$1,'ALL JOBS'!F70)),"",IF('ALL JOBS'!D70&lt;=Budget!$B$3,"","Y"))),IF('ALL JOBS'!D70&lt;=Budget!$B$3,"","Y")))</f>
        <v/>
      </c>
      <c r="U64" s="20">
        <f t="shared" si="42"/>
        <v>64</v>
      </c>
      <c r="V64" s="20" t="e">
        <f t="shared" ca="1" si="43"/>
        <v>#N/A</v>
      </c>
      <c r="W64" s="20" t="e">
        <f t="shared" ca="1" si="44"/>
        <v>#N/A</v>
      </c>
      <c r="X64" s="20" t="e">
        <f t="shared" ca="1" si="15"/>
        <v>#N/A</v>
      </c>
      <c r="Y64" s="20" t="e">
        <f t="shared" ca="1" si="9"/>
        <v>#N/A</v>
      </c>
      <c r="Z64" s="20" t="e">
        <f t="shared" ca="1" si="10"/>
        <v>#N/A</v>
      </c>
      <c r="AA64" s="20" t="e">
        <f t="shared" ca="1" si="11"/>
        <v>#N/A</v>
      </c>
      <c r="AB64" s="20" t="e">
        <f t="shared" ca="1" si="16"/>
        <v>#N/A</v>
      </c>
      <c r="AC64" s="20" t="e">
        <f t="shared" ca="1" si="12"/>
        <v>#N/A</v>
      </c>
      <c r="AD64" s="20" t="e">
        <f t="shared" ca="1" si="13"/>
        <v>#N/A</v>
      </c>
      <c r="AE64" s="20" t="str">
        <f t="shared" ca="1" si="45"/>
        <v/>
      </c>
      <c r="AF64" s="20" t="str">
        <f t="shared" ca="1" si="46"/>
        <v/>
      </c>
      <c r="AG64" s="20" t="str">
        <f t="shared" si="47"/>
        <v>'ALL JOBS'!D70</v>
      </c>
      <c r="AH64" s="20" t="str">
        <f t="shared" si="48"/>
        <v>'ALL JOBS'!F70</v>
      </c>
      <c r="AJ64" s="20" t="e">
        <f ca="1">(OR(INDIRECT(L64)=MAX('ALL JOBS'!A:A),AJ63))</f>
        <v>#N/A</v>
      </c>
    </row>
    <row r="65" spans="1:36" ht="30" customHeight="1">
      <c r="A65" s="20" t="str">
        <f t="shared" ca="1" si="32"/>
        <v/>
      </c>
      <c r="B65" s="17" t="str">
        <f t="shared" ca="1" si="33"/>
        <v/>
      </c>
      <c r="C65" s="18" t="str">
        <f t="shared" ca="1" si="34"/>
        <v/>
      </c>
      <c r="D65" s="18" t="str">
        <f t="shared" ca="1" si="35"/>
        <v/>
      </c>
      <c r="E65" s="18" t="str">
        <f t="shared" ca="1" si="36"/>
        <v/>
      </c>
      <c r="F65" s="19" t="str">
        <f t="shared" ca="1" si="37"/>
        <v/>
      </c>
      <c r="G65" s="20" t="str">
        <f ca="1">IF($C$1="ALL",IF(INDIRECT(AH65)="","",IF(INDIRECT(AG65)&gt;MAX(Budget!$B$3,Budget!$E$3),"","Y")),IF(ISERR(FIND($C$1,INDIRECT(AH65))),"",IF(INDIRECT(AG65)&gt;MAX(Budget!$B$3,Budget!$E$3),"","Y")))</f>
        <v/>
      </c>
      <c r="H65" s="20">
        <f t="shared" si="38"/>
        <v>65</v>
      </c>
      <c r="I65" s="20" t="e">
        <f t="shared" ca="1" si="39"/>
        <v>#N/A</v>
      </c>
      <c r="J65" s="20" t="e">
        <f t="shared" ca="1" si="40"/>
        <v>#N/A</v>
      </c>
      <c r="K65" s="20" t="e">
        <f ca="1">CONCATENATE("G",J64+1,":I",'ALL JOBS'!$K$9)</f>
        <v>#N/A</v>
      </c>
      <c r="L65" s="20" t="e">
        <f t="shared" ca="1" si="14"/>
        <v>#N/A</v>
      </c>
      <c r="M65" s="20" t="e">
        <f t="shared" ca="1" si="3"/>
        <v>#N/A</v>
      </c>
      <c r="N65" s="20" t="e">
        <f t="shared" ca="1" si="4"/>
        <v>#N/A</v>
      </c>
      <c r="O65" s="20" t="e">
        <f t="shared" ca="1" si="5"/>
        <v>#N/A</v>
      </c>
      <c r="P65" s="20" t="e">
        <f t="shared" ca="1" si="6"/>
        <v>#N/A</v>
      </c>
      <c r="Q65" s="20" t="e">
        <f t="shared" ca="1" si="7"/>
        <v>#N/A</v>
      </c>
      <c r="R65" s="20" t="e">
        <f t="shared" ca="1" si="8"/>
        <v>#N/A</v>
      </c>
      <c r="S65" s="18" t="str">
        <f t="shared" ca="1" si="41"/>
        <v/>
      </c>
      <c r="T65" s="21" t="str">
        <f>IF($C$1="ALL",IF('ALL JOBS'!F71="","",IF('ALL JOBS'!D71&lt;=Budget!$B$3,"","Y")),IF(ISERR(FIND($C$1,'ALL JOBS'!F71)),IF($E$1="","",IF(ISERR(FIND($E$1,'ALL JOBS'!F71)),"",IF('ALL JOBS'!D71&lt;=Budget!$B$3,"","Y"))),IF('ALL JOBS'!D71&lt;=Budget!$B$3,"","Y")))</f>
        <v/>
      </c>
      <c r="U65" s="20">
        <f t="shared" si="42"/>
        <v>65</v>
      </c>
      <c r="V65" s="20" t="e">
        <f t="shared" ca="1" si="43"/>
        <v>#N/A</v>
      </c>
      <c r="W65" s="20" t="e">
        <f t="shared" ca="1" si="44"/>
        <v>#N/A</v>
      </c>
      <c r="X65" s="20" t="e">
        <f t="shared" ca="1" si="15"/>
        <v>#N/A</v>
      </c>
      <c r="Y65" s="20" t="e">
        <f t="shared" ca="1" si="9"/>
        <v>#N/A</v>
      </c>
      <c r="Z65" s="20" t="e">
        <f t="shared" ca="1" si="10"/>
        <v>#N/A</v>
      </c>
      <c r="AA65" s="20" t="e">
        <f t="shared" ca="1" si="11"/>
        <v>#N/A</v>
      </c>
      <c r="AB65" s="20" t="e">
        <f t="shared" ca="1" si="16"/>
        <v>#N/A</v>
      </c>
      <c r="AC65" s="20" t="e">
        <f t="shared" ca="1" si="12"/>
        <v>#N/A</v>
      </c>
      <c r="AD65" s="20" t="e">
        <f t="shared" ca="1" si="13"/>
        <v>#N/A</v>
      </c>
      <c r="AE65" s="20" t="str">
        <f t="shared" ca="1" si="45"/>
        <v/>
      </c>
      <c r="AF65" s="20" t="str">
        <f t="shared" ca="1" si="46"/>
        <v/>
      </c>
      <c r="AG65" s="20" t="str">
        <f t="shared" si="47"/>
        <v>'ALL JOBS'!D71</v>
      </c>
      <c r="AH65" s="20" t="str">
        <f t="shared" si="48"/>
        <v>'ALL JOBS'!F71</v>
      </c>
      <c r="AJ65" s="20" t="e">
        <f ca="1">(OR(INDIRECT(L65)=MAX('ALL JOBS'!A:A),AJ64))</f>
        <v>#N/A</v>
      </c>
    </row>
    <row r="66" spans="1:36" ht="30" customHeight="1">
      <c r="A66" s="20" t="str">
        <f t="shared" ca="1" si="32"/>
        <v/>
      </c>
      <c r="B66" s="17" t="str">
        <f t="shared" ca="1" si="33"/>
        <v/>
      </c>
      <c r="C66" s="18" t="str">
        <f t="shared" ca="1" si="34"/>
        <v/>
      </c>
      <c r="D66" s="18" t="str">
        <f t="shared" ca="1" si="35"/>
        <v/>
      </c>
      <c r="E66" s="18" t="str">
        <f t="shared" ca="1" si="36"/>
        <v/>
      </c>
      <c r="F66" s="19" t="str">
        <f t="shared" ca="1" si="37"/>
        <v/>
      </c>
      <c r="G66" s="20" t="str">
        <f ca="1">IF($C$1="ALL",IF(INDIRECT(AH66)="","",IF(INDIRECT(AG66)&gt;MAX(Budget!$B$3,Budget!$E$3),"","Y")),IF(ISERR(FIND($C$1,INDIRECT(AH66))),"",IF(INDIRECT(AG66)&gt;MAX(Budget!$B$3,Budget!$E$3),"","Y")))</f>
        <v/>
      </c>
      <c r="H66" s="20">
        <f t="shared" si="38"/>
        <v>66</v>
      </c>
      <c r="I66" s="20" t="e">
        <f t="shared" ca="1" si="39"/>
        <v>#N/A</v>
      </c>
      <c r="J66" s="20" t="e">
        <f t="shared" ca="1" si="40"/>
        <v>#N/A</v>
      </c>
      <c r="K66" s="20" t="e">
        <f ca="1">CONCATENATE("G",J65+1,":I",'ALL JOBS'!$K$9)</f>
        <v>#N/A</v>
      </c>
      <c r="L66" s="20" t="e">
        <f t="shared" ca="1" si="14"/>
        <v>#N/A</v>
      </c>
      <c r="M66" s="20" t="e">
        <f t="shared" ca="1" si="3"/>
        <v>#N/A</v>
      </c>
      <c r="N66" s="20" t="e">
        <f t="shared" ca="1" si="4"/>
        <v>#N/A</v>
      </c>
      <c r="O66" s="20" t="e">
        <f t="shared" ca="1" si="5"/>
        <v>#N/A</v>
      </c>
      <c r="P66" s="20" t="e">
        <f t="shared" ca="1" si="6"/>
        <v>#N/A</v>
      </c>
      <c r="Q66" s="20" t="e">
        <f t="shared" ca="1" si="7"/>
        <v>#N/A</v>
      </c>
      <c r="R66" s="20" t="e">
        <f t="shared" ca="1" si="8"/>
        <v>#N/A</v>
      </c>
      <c r="S66" s="18" t="str">
        <f t="shared" ca="1" si="41"/>
        <v/>
      </c>
      <c r="T66" s="21" t="str">
        <f>IF($C$1="ALL",IF('ALL JOBS'!F72="","",IF('ALL JOBS'!D72&lt;=Budget!$B$3,"","Y")),IF(ISERR(FIND($C$1,'ALL JOBS'!F72)),IF($E$1="","",IF(ISERR(FIND($E$1,'ALL JOBS'!F72)),"",IF('ALL JOBS'!D72&lt;=Budget!$B$3,"","Y"))),IF('ALL JOBS'!D72&lt;=Budget!$B$3,"","Y")))</f>
        <v/>
      </c>
      <c r="U66" s="20">
        <f t="shared" si="42"/>
        <v>66</v>
      </c>
      <c r="V66" s="20" t="e">
        <f t="shared" ca="1" si="43"/>
        <v>#N/A</v>
      </c>
      <c r="W66" s="20" t="e">
        <f t="shared" ca="1" si="44"/>
        <v>#N/A</v>
      </c>
      <c r="X66" s="20" t="e">
        <f t="shared" ca="1" si="15"/>
        <v>#N/A</v>
      </c>
      <c r="Y66" s="20" t="e">
        <f t="shared" ca="1" si="9"/>
        <v>#N/A</v>
      </c>
      <c r="Z66" s="20" t="e">
        <f t="shared" ca="1" si="10"/>
        <v>#N/A</v>
      </c>
      <c r="AA66" s="20" t="e">
        <f t="shared" ca="1" si="11"/>
        <v>#N/A</v>
      </c>
      <c r="AB66" s="20" t="e">
        <f t="shared" ca="1" si="16"/>
        <v>#N/A</v>
      </c>
      <c r="AC66" s="20" t="e">
        <f t="shared" ca="1" si="12"/>
        <v>#N/A</v>
      </c>
      <c r="AD66" s="20" t="e">
        <f t="shared" ca="1" si="13"/>
        <v>#N/A</v>
      </c>
      <c r="AE66" s="20" t="str">
        <f t="shared" ca="1" si="45"/>
        <v/>
      </c>
      <c r="AF66" s="20" t="str">
        <f t="shared" ca="1" si="46"/>
        <v/>
      </c>
      <c r="AG66" s="20" t="str">
        <f t="shared" si="47"/>
        <v>'ALL JOBS'!D72</v>
      </c>
      <c r="AH66" s="20" t="str">
        <f t="shared" si="48"/>
        <v>'ALL JOBS'!F72</v>
      </c>
      <c r="AJ66" s="20" t="e">
        <f ca="1">(OR(INDIRECT(L66)=MAX('ALL JOBS'!A:A),AJ65))</f>
        <v>#N/A</v>
      </c>
    </row>
    <row r="67" spans="1:36" ht="30" customHeight="1">
      <c r="A67" s="20" t="str">
        <f t="shared" ca="1" si="32"/>
        <v/>
      </c>
      <c r="B67" s="17" t="str">
        <f t="shared" ca="1" si="33"/>
        <v/>
      </c>
      <c r="C67" s="18" t="str">
        <f t="shared" ca="1" si="34"/>
        <v/>
      </c>
      <c r="D67" s="18" t="str">
        <f t="shared" ca="1" si="35"/>
        <v/>
      </c>
      <c r="E67" s="18" t="str">
        <f t="shared" ca="1" si="36"/>
        <v/>
      </c>
      <c r="F67" s="19" t="str">
        <f t="shared" ca="1" si="37"/>
        <v/>
      </c>
      <c r="G67" s="20" t="str">
        <f ca="1">IF($C$1="ALL",IF(INDIRECT(AH67)="","",IF(INDIRECT(AG67)&gt;MAX(Budget!$B$3,Budget!$E$3),"","Y")),IF(ISERR(FIND($C$1,INDIRECT(AH67))),"",IF(INDIRECT(AG67)&gt;MAX(Budget!$B$3,Budget!$E$3),"","Y")))</f>
        <v/>
      </c>
      <c r="H67" s="20">
        <f t="shared" si="38"/>
        <v>67</v>
      </c>
      <c r="I67" s="20" t="e">
        <f t="shared" ca="1" si="39"/>
        <v>#N/A</v>
      </c>
      <c r="J67" s="20" t="e">
        <f t="shared" ca="1" si="40"/>
        <v>#N/A</v>
      </c>
      <c r="K67" s="20" t="e">
        <f ca="1">CONCATENATE("G",J66+1,":I",'ALL JOBS'!$K$9)</f>
        <v>#N/A</v>
      </c>
      <c r="L67" s="20" t="e">
        <f t="shared" ca="1" si="14"/>
        <v>#N/A</v>
      </c>
      <c r="M67" s="20" t="e">
        <f t="shared" ca="1" si="3"/>
        <v>#N/A</v>
      </c>
      <c r="N67" s="20" t="e">
        <f t="shared" ca="1" si="4"/>
        <v>#N/A</v>
      </c>
      <c r="O67" s="20" t="e">
        <f t="shared" ca="1" si="5"/>
        <v>#N/A</v>
      </c>
      <c r="P67" s="20" t="e">
        <f t="shared" ca="1" si="6"/>
        <v>#N/A</v>
      </c>
      <c r="Q67" s="20" t="e">
        <f t="shared" ca="1" si="7"/>
        <v>#N/A</v>
      </c>
      <c r="R67" s="20" t="e">
        <f t="shared" ca="1" si="8"/>
        <v>#N/A</v>
      </c>
      <c r="S67" s="18" t="str">
        <f t="shared" ca="1" si="41"/>
        <v/>
      </c>
      <c r="T67" s="21" t="str">
        <f>IF($C$1="ALL",IF('ALL JOBS'!F73="","",IF('ALL JOBS'!D73&lt;=Budget!$B$3,"","Y")),IF(ISERR(FIND($C$1,'ALL JOBS'!F73)),IF($E$1="","",IF(ISERR(FIND($E$1,'ALL JOBS'!F73)),"",IF('ALL JOBS'!D73&lt;=Budget!$B$3,"","Y"))),IF('ALL JOBS'!D73&lt;=Budget!$B$3,"","Y")))</f>
        <v/>
      </c>
      <c r="U67" s="20">
        <f t="shared" si="42"/>
        <v>67</v>
      </c>
      <c r="V67" s="20" t="e">
        <f t="shared" ca="1" si="43"/>
        <v>#N/A</v>
      </c>
      <c r="W67" s="20" t="e">
        <f t="shared" ca="1" si="44"/>
        <v>#N/A</v>
      </c>
      <c r="X67" s="20" t="e">
        <f t="shared" ca="1" si="15"/>
        <v>#N/A</v>
      </c>
      <c r="Y67" s="20" t="e">
        <f t="shared" ca="1" si="9"/>
        <v>#N/A</v>
      </c>
      <c r="Z67" s="20" t="e">
        <f t="shared" ca="1" si="10"/>
        <v>#N/A</v>
      </c>
      <c r="AA67" s="20" t="e">
        <f t="shared" ca="1" si="11"/>
        <v>#N/A</v>
      </c>
      <c r="AB67" s="20" t="e">
        <f t="shared" ca="1" si="16"/>
        <v>#N/A</v>
      </c>
      <c r="AC67" s="20" t="e">
        <f t="shared" ca="1" si="12"/>
        <v>#N/A</v>
      </c>
      <c r="AD67" s="20" t="e">
        <f t="shared" ca="1" si="13"/>
        <v>#N/A</v>
      </c>
      <c r="AE67" s="20" t="str">
        <f t="shared" ca="1" si="45"/>
        <v/>
      </c>
      <c r="AF67" s="20" t="str">
        <f t="shared" ca="1" si="46"/>
        <v/>
      </c>
      <c r="AG67" s="20" t="str">
        <f t="shared" si="47"/>
        <v>'ALL JOBS'!D73</v>
      </c>
      <c r="AH67" s="20" t="str">
        <f t="shared" si="48"/>
        <v>'ALL JOBS'!F73</v>
      </c>
      <c r="AJ67" s="20" t="e">
        <f ca="1">(OR(INDIRECT(L67)=MAX('ALL JOBS'!A:A),AJ66))</f>
        <v>#N/A</v>
      </c>
    </row>
    <row r="68" spans="1:36" ht="30" customHeight="1">
      <c r="A68" s="20" t="str">
        <f t="shared" ca="1" si="32"/>
        <v/>
      </c>
      <c r="B68" s="17" t="str">
        <f t="shared" ca="1" si="33"/>
        <v/>
      </c>
      <c r="C68" s="18" t="str">
        <f t="shared" ca="1" si="34"/>
        <v/>
      </c>
      <c r="D68" s="18" t="str">
        <f t="shared" ca="1" si="35"/>
        <v/>
      </c>
      <c r="E68" s="18" t="str">
        <f t="shared" ca="1" si="36"/>
        <v/>
      </c>
      <c r="F68" s="19" t="str">
        <f t="shared" ca="1" si="37"/>
        <v/>
      </c>
      <c r="G68" s="20" t="str">
        <f ca="1">IF($C$1="ALL",IF(INDIRECT(AH68)="","",IF(INDIRECT(AG68)&gt;MAX(Budget!$B$3,Budget!$E$3),"","Y")),IF(ISERR(FIND($C$1,INDIRECT(AH68))),"",IF(INDIRECT(AG68)&gt;MAX(Budget!$B$3,Budget!$E$3),"","Y")))</f>
        <v/>
      </c>
      <c r="H68" s="20">
        <f t="shared" si="38"/>
        <v>68</v>
      </c>
      <c r="I68" s="20" t="e">
        <f t="shared" ca="1" si="39"/>
        <v>#N/A</v>
      </c>
      <c r="J68" s="20" t="e">
        <f t="shared" ca="1" si="40"/>
        <v>#N/A</v>
      </c>
      <c r="K68" s="20" t="e">
        <f ca="1">CONCATENATE("G",J67+1,":I",'ALL JOBS'!$K$9)</f>
        <v>#N/A</v>
      </c>
      <c r="L68" s="20" t="e">
        <f t="shared" ca="1" si="14"/>
        <v>#N/A</v>
      </c>
      <c r="M68" s="20" t="e">
        <f t="shared" ref="M68:M77" ca="1" si="49">CONCATENATE("'ALL JOBS'!B",$J68+$K$3)</f>
        <v>#N/A</v>
      </c>
      <c r="N68" s="20" t="e">
        <f t="shared" ref="N68:N77" ca="1" si="50">CONCATENATE("'ALL JOBS'!D",$J68+$K$3)</f>
        <v>#N/A</v>
      </c>
      <c r="O68" s="20" t="e">
        <f t="shared" ref="O68:O77" ca="1" si="51">CONCATENATE("'ALL JOBS'!E",$J68+$K$3)</f>
        <v>#N/A</v>
      </c>
      <c r="P68" s="20" t="e">
        <f t="shared" ref="P68:P77" ca="1" si="52">CONCATENATE("'ALL JOBS'!F",$J68+$K$3)</f>
        <v>#N/A</v>
      </c>
      <c r="Q68" s="20" t="e">
        <f t="shared" ref="Q68:Q77" ca="1" si="53">CONCATENATE("'ALL JOBS'!G",$J68+$K$3)</f>
        <v>#N/A</v>
      </c>
      <c r="R68" s="20" t="e">
        <f t="shared" ref="R68:R77" ca="1" si="54">CONCATENATE("'ALL JOBS'!D",$I68+6)</f>
        <v>#N/A</v>
      </c>
      <c r="S68" s="18" t="str">
        <f t="shared" ca="1" si="41"/>
        <v/>
      </c>
      <c r="T68" s="21" t="str">
        <f>IF($C$1="ALL",IF('ALL JOBS'!F74="","",IF('ALL JOBS'!D74&lt;=Budget!$B$3,"","Y")),IF(ISERR(FIND($C$1,'ALL JOBS'!F74)),IF($E$1="","",IF(ISERR(FIND($E$1,'ALL JOBS'!F74)),"",IF('ALL JOBS'!D74&lt;=Budget!$B$3,"","Y"))),IF('ALL JOBS'!D74&lt;=Budget!$B$3,"","Y")))</f>
        <v/>
      </c>
      <c r="U68" s="20">
        <f t="shared" si="42"/>
        <v>68</v>
      </c>
      <c r="V68" s="20" t="e">
        <f t="shared" ca="1" si="43"/>
        <v>#N/A</v>
      </c>
      <c r="W68" s="20" t="e">
        <f t="shared" ca="1" si="44"/>
        <v>#N/A</v>
      </c>
      <c r="X68" s="20" t="e">
        <f t="shared" ca="1" si="15"/>
        <v>#N/A</v>
      </c>
      <c r="Y68" s="20" t="e">
        <f t="shared" ref="Y68:Y77" ca="1" si="55">CONCATENATE("'ALL JOBS'!B",$V68+$K$3)</f>
        <v>#N/A</v>
      </c>
      <c r="Z68" s="20" t="e">
        <f t="shared" ref="Z68:Z77" ca="1" si="56">CONCATENATE("'ALL JOBS'!D",$V68+$K$3)</f>
        <v>#N/A</v>
      </c>
      <c r="AA68" s="20" t="e">
        <f t="shared" ref="AA68:AA77" ca="1" si="57">CONCATENATE("'ALL JOBS'!E",$V68+$K$3)</f>
        <v>#N/A</v>
      </c>
      <c r="AB68" s="20" t="e">
        <f t="shared" ca="1" si="16"/>
        <v>#N/A</v>
      </c>
      <c r="AC68" s="20" t="e">
        <f t="shared" ref="AC68:AC77" ca="1" si="58">CONCATENATE("'ALL JOBS'!G",$V68+$K$3)</f>
        <v>#N/A</v>
      </c>
      <c r="AD68" s="20" t="e">
        <f t="shared" ref="AD68:AD77" ca="1" si="59">CONCATENATE("'ALL JOBS'!D",$I68+6)</f>
        <v>#N/A</v>
      </c>
      <c r="AE68" s="20" t="str">
        <f t="shared" ca="1" si="45"/>
        <v/>
      </c>
      <c r="AF68" s="20" t="str">
        <f t="shared" ca="1" si="46"/>
        <v/>
      </c>
      <c r="AG68" s="20" t="str">
        <f t="shared" si="47"/>
        <v>'ALL JOBS'!D74</v>
      </c>
      <c r="AH68" s="20" t="str">
        <f t="shared" si="48"/>
        <v>'ALL JOBS'!F74</v>
      </c>
      <c r="AJ68" s="20" t="e">
        <f ca="1">(OR(INDIRECT(L68)=MAX('ALL JOBS'!A:A),AJ67))</f>
        <v>#N/A</v>
      </c>
    </row>
    <row r="69" spans="1:36" ht="30" customHeight="1">
      <c r="A69" s="20" t="str">
        <f t="shared" ca="1" si="32"/>
        <v/>
      </c>
      <c r="B69" s="17" t="str">
        <f t="shared" ca="1" si="33"/>
        <v/>
      </c>
      <c r="C69" s="18" t="str">
        <f t="shared" ca="1" si="34"/>
        <v/>
      </c>
      <c r="D69" s="18" t="str">
        <f t="shared" ca="1" si="35"/>
        <v/>
      </c>
      <c r="E69" s="18" t="str">
        <f t="shared" ca="1" si="36"/>
        <v/>
      </c>
      <c r="F69" s="19" t="str">
        <f t="shared" ca="1" si="37"/>
        <v/>
      </c>
      <c r="G69" s="20" t="str">
        <f ca="1">IF($C$1="ALL",IF(INDIRECT(AH69)="","",IF(INDIRECT(AG69)&gt;MAX(Budget!$B$3,Budget!$E$3),"","Y")),IF(ISERR(FIND($C$1,INDIRECT(AH69))),"",IF(INDIRECT(AG69)&gt;MAX(Budget!$B$3,Budget!$E$3),"","Y")))</f>
        <v/>
      </c>
      <c r="H69" s="20">
        <f t="shared" si="38"/>
        <v>69</v>
      </c>
      <c r="I69" s="20" t="e">
        <f t="shared" ca="1" si="39"/>
        <v>#N/A</v>
      </c>
      <c r="J69" s="20" t="e">
        <f t="shared" ca="1" si="40"/>
        <v>#N/A</v>
      </c>
      <c r="K69" s="20" t="e">
        <f ca="1">CONCATENATE("G",J68+1,":I",'ALL JOBS'!$K$9)</f>
        <v>#N/A</v>
      </c>
      <c r="L69" s="20" t="e">
        <f t="shared" ref="L69:L77" ca="1" si="60">CONCATENATE("'ALL JOBS'!A",$J69+$K$3)</f>
        <v>#N/A</v>
      </c>
      <c r="M69" s="20" t="e">
        <f t="shared" ca="1" si="49"/>
        <v>#N/A</v>
      </c>
      <c r="N69" s="20" t="e">
        <f t="shared" ca="1" si="50"/>
        <v>#N/A</v>
      </c>
      <c r="O69" s="20" t="e">
        <f t="shared" ca="1" si="51"/>
        <v>#N/A</v>
      </c>
      <c r="P69" s="20" t="e">
        <f t="shared" ca="1" si="52"/>
        <v>#N/A</v>
      </c>
      <c r="Q69" s="20" t="e">
        <f t="shared" ca="1" si="53"/>
        <v>#N/A</v>
      </c>
      <c r="R69" s="20" t="e">
        <f t="shared" ca="1" si="54"/>
        <v>#N/A</v>
      </c>
      <c r="S69" s="18" t="str">
        <f t="shared" ca="1" si="41"/>
        <v/>
      </c>
      <c r="T69" s="21" t="str">
        <f>IF($C$1="ALL",IF('ALL JOBS'!F75="","",IF('ALL JOBS'!D75&lt;=Budget!$B$3,"","Y")),IF(ISERR(FIND($C$1,'ALL JOBS'!F75)),IF($E$1="","",IF(ISERR(FIND($E$1,'ALL JOBS'!F75)),"",IF('ALL JOBS'!D75&lt;=Budget!$B$3,"","Y"))),IF('ALL JOBS'!D75&lt;=Budget!$B$3,"","Y")))</f>
        <v/>
      </c>
      <c r="U69" s="20">
        <f t="shared" si="42"/>
        <v>69</v>
      </c>
      <c r="V69" s="20" t="e">
        <f t="shared" ca="1" si="43"/>
        <v>#N/A</v>
      </c>
      <c r="W69" s="20" t="e">
        <f t="shared" ca="1" si="44"/>
        <v>#N/A</v>
      </c>
      <c r="X69" s="20" t="e">
        <f t="shared" ref="X69:X77" ca="1" si="61">CONCATENATE("'ALL JOBS'!A",$V69+$K$3)</f>
        <v>#N/A</v>
      </c>
      <c r="Y69" s="20" t="e">
        <f t="shared" ca="1" si="55"/>
        <v>#N/A</v>
      </c>
      <c r="Z69" s="20" t="e">
        <f t="shared" ca="1" si="56"/>
        <v>#N/A</v>
      </c>
      <c r="AA69" s="20" t="e">
        <f t="shared" ca="1" si="57"/>
        <v>#N/A</v>
      </c>
      <c r="AB69" s="20" t="e">
        <f t="shared" ref="AB69:AB77" ca="1" si="62">CONCATENATE("'ALL JOBS'!F",$V69+$K$3)</f>
        <v>#N/A</v>
      </c>
      <c r="AC69" s="20" t="e">
        <f t="shared" ca="1" si="58"/>
        <v>#N/A</v>
      </c>
      <c r="AD69" s="20" t="e">
        <f t="shared" ca="1" si="59"/>
        <v>#N/A</v>
      </c>
      <c r="AE69" s="20" t="str">
        <f t="shared" ca="1" si="45"/>
        <v/>
      </c>
      <c r="AF69" s="20" t="str">
        <f t="shared" ca="1" si="46"/>
        <v/>
      </c>
      <c r="AG69" s="20" t="str">
        <f t="shared" si="47"/>
        <v>'ALL JOBS'!D75</v>
      </c>
      <c r="AH69" s="20" t="str">
        <f t="shared" si="48"/>
        <v>'ALL JOBS'!F75</v>
      </c>
      <c r="AJ69" s="20" t="e">
        <f ca="1">(OR(INDIRECT(L69)=MAX('ALL JOBS'!A:A),AJ68))</f>
        <v>#N/A</v>
      </c>
    </row>
    <row r="70" spans="1:36" ht="30" customHeight="1">
      <c r="A70" s="20" t="str">
        <f t="shared" ca="1" si="32"/>
        <v/>
      </c>
      <c r="B70" s="17" t="str">
        <f t="shared" ca="1" si="33"/>
        <v/>
      </c>
      <c r="C70" s="18" t="str">
        <f t="shared" ca="1" si="34"/>
        <v/>
      </c>
      <c r="D70" s="18" t="str">
        <f t="shared" ca="1" si="35"/>
        <v/>
      </c>
      <c r="E70" s="18" t="str">
        <f t="shared" ca="1" si="36"/>
        <v/>
      </c>
      <c r="F70" s="19" t="str">
        <f t="shared" ca="1" si="37"/>
        <v/>
      </c>
      <c r="G70" s="20" t="str">
        <f ca="1">IF($C$1="ALL",IF(INDIRECT(AH70)="","",IF(INDIRECT(AG70)&gt;MAX(Budget!$B$3,Budget!$E$3),"","Y")),IF(ISERR(FIND($C$1,INDIRECT(AH70))),"",IF(INDIRECT(AG70)&gt;MAX(Budget!$B$3,Budget!$E$3),"","Y")))</f>
        <v/>
      </c>
      <c r="H70" s="20">
        <f t="shared" si="38"/>
        <v>70</v>
      </c>
      <c r="I70" s="20" t="e">
        <f t="shared" ca="1" si="39"/>
        <v>#N/A</v>
      </c>
      <c r="J70" s="20" t="e">
        <f t="shared" ca="1" si="40"/>
        <v>#N/A</v>
      </c>
      <c r="K70" s="20" t="e">
        <f ca="1">CONCATENATE("G",J69+1,":I",'ALL JOBS'!$K$9)</f>
        <v>#N/A</v>
      </c>
      <c r="L70" s="20" t="e">
        <f t="shared" ca="1" si="60"/>
        <v>#N/A</v>
      </c>
      <c r="M70" s="20" t="e">
        <f t="shared" ca="1" si="49"/>
        <v>#N/A</v>
      </c>
      <c r="N70" s="20" t="e">
        <f t="shared" ca="1" si="50"/>
        <v>#N/A</v>
      </c>
      <c r="O70" s="20" t="e">
        <f t="shared" ca="1" si="51"/>
        <v>#N/A</v>
      </c>
      <c r="P70" s="20" t="e">
        <f t="shared" ca="1" si="52"/>
        <v>#N/A</v>
      </c>
      <c r="Q70" s="20" t="e">
        <f t="shared" ca="1" si="53"/>
        <v>#N/A</v>
      </c>
      <c r="R70" s="20" t="e">
        <f t="shared" ca="1" si="54"/>
        <v>#N/A</v>
      </c>
      <c r="S70" s="18" t="str">
        <f t="shared" ca="1" si="41"/>
        <v/>
      </c>
      <c r="T70" s="21" t="str">
        <f>IF($C$1="ALL",IF('ALL JOBS'!F76="","",IF('ALL JOBS'!D76&lt;=Budget!$B$3,"","Y")),IF(ISERR(FIND($C$1,'ALL JOBS'!F76)),IF($E$1="","",IF(ISERR(FIND($E$1,'ALL JOBS'!F76)),"",IF('ALL JOBS'!D76&lt;=Budget!$B$3,"","Y"))),IF('ALL JOBS'!D76&lt;=Budget!$B$3,"","Y")))</f>
        <v/>
      </c>
      <c r="U70" s="20">
        <f t="shared" si="42"/>
        <v>70</v>
      </c>
      <c r="V70" s="20" t="e">
        <f t="shared" ca="1" si="43"/>
        <v>#N/A</v>
      </c>
      <c r="W70" s="20" t="e">
        <f t="shared" ca="1" si="44"/>
        <v>#N/A</v>
      </c>
      <c r="X70" s="20" t="e">
        <f t="shared" ca="1" si="61"/>
        <v>#N/A</v>
      </c>
      <c r="Y70" s="20" t="e">
        <f t="shared" ca="1" si="55"/>
        <v>#N/A</v>
      </c>
      <c r="Z70" s="20" t="e">
        <f t="shared" ca="1" si="56"/>
        <v>#N/A</v>
      </c>
      <c r="AA70" s="20" t="e">
        <f t="shared" ca="1" si="57"/>
        <v>#N/A</v>
      </c>
      <c r="AB70" s="20" t="e">
        <f t="shared" ca="1" si="62"/>
        <v>#N/A</v>
      </c>
      <c r="AC70" s="20" t="e">
        <f t="shared" ca="1" si="58"/>
        <v>#N/A</v>
      </c>
      <c r="AD70" s="20" t="e">
        <f t="shared" ca="1" si="59"/>
        <v>#N/A</v>
      </c>
      <c r="AE70" s="20" t="str">
        <f t="shared" ca="1" si="45"/>
        <v/>
      </c>
      <c r="AF70" s="20" t="str">
        <f t="shared" ca="1" si="46"/>
        <v/>
      </c>
      <c r="AG70" s="20" t="str">
        <f t="shared" si="47"/>
        <v>'ALL JOBS'!D76</v>
      </c>
      <c r="AH70" s="20" t="str">
        <f t="shared" si="48"/>
        <v>'ALL JOBS'!F76</v>
      </c>
      <c r="AJ70" s="20" t="e">
        <f ca="1">(OR(INDIRECT(L70)=MAX('ALL JOBS'!A:A),AJ69))</f>
        <v>#N/A</v>
      </c>
    </row>
    <row r="71" spans="1:36" ht="30" customHeight="1">
      <c r="A71" s="20" t="str">
        <f t="shared" ca="1" si="32"/>
        <v/>
      </c>
      <c r="B71" s="17" t="str">
        <f t="shared" ca="1" si="33"/>
        <v/>
      </c>
      <c r="C71" s="18" t="str">
        <f t="shared" ca="1" si="34"/>
        <v/>
      </c>
      <c r="D71" s="18" t="str">
        <f t="shared" ca="1" si="35"/>
        <v/>
      </c>
      <c r="E71" s="18" t="str">
        <f t="shared" ca="1" si="36"/>
        <v/>
      </c>
      <c r="F71" s="19" t="str">
        <f t="shared" ca="1" si="37"/>
        <v/>
      </c>
      <c r="G71" s="20" t="str">
        <f ca="1">IF($C$1="ALL",IF(INDIRECT(AH71)="","",IF(INDIRECT(AG71)&gt;MAX(Budget!$B$3,Budget!$E$3),"","Y")),IF(ISERR(FIND($C$1,INDIRECT(AH71))),"",IF(INDIRECT(AG71)&gt;MAX(Budget!$B$3,Budget!$E$3),"","Y")))</f>
        <v/>
      </c>
      <c r="H71" s="20">
        <f t="shared" si="38"/>
        <v>71</v>
      </c>
      <c r="I71" s="20" t="e">
        <f t="shared" ca="1" si="39"/>
        <v>#N/A</v>
      </c>
      <c r="J71" s="20" t="e">
        <f t="shared" ca="1" si="40"/>
        <v>#N/A</v>
      </c>
      <c r="K71" s="20" t="e">
        <f ca="1">CONCATENATE("G",J70+1,":I",'ALL JOBS'!$K$9)</f>
        <v>#N/A</v>
      </c>
      <c r="L71" s="20" t="e">
        <f t="shared" ca="1" si="60"/>
        <v>#N/A</v>
      </c>
      <c r="M71" s="20" t="e">
        <f t="shared" ca="1" si="49"/>
        <v>#N/A</v>
      </c>
      <c r="N71" s="20" t="e">
        <f t="shared" ca="1" si="50"/>
        <v>#N/A</v>
      </c>
      <c r="O71" s="20" t="e">
        <f t="shared" ca="1" si="51"/>
        <v>#N/A</v>
      </c>
      <c r="P71" s="20" t="e">
        <f t="shared" ca="1" si="52"/>
        <v>#N/A</v>
      </c>
      <c r="Q71" s="20" t="e">
        <f t="shared" ca="1" si="53"/>
        <v>#N/A</v>
      </c>
      <c r="R71" s="20" t="e">
        <f t="shared" ca="1" si="54"/>
        <v>#N/A</v>
      </c>
      <c r="S71" s="18" t="str">
        <f t="shared" ca="1" si="41"/>
        <v/>
      </c>
      <c r="T71" s="21" t="str">
        <f>IF($C$1="ALL",IF('ALL JOBS'!F77="","",IF('ALL JOBS'!D77&lt;=Budget!$B$3,"","Y")),IF(ISERR(FIND($C$1,'ALL JOBS'!F77)),IF($E$1="","",IF(ISERR(FIND($E$1,'ALL JOBS'!F77)),"",IF('ALL JOBS'!D77&lt;=Budget!$B$3,"","Y"))),IF('ALL JOBS'!D77&lt;=Budget!$B$3,"","Y")))</f>
        <v/>
      </c>
      <c r="U71" s="20">
        <f t="shared" si="42"/>
        <v>71</v>
      </c>
      <c r="V71" s="20" t="e">
        <f t="shared" ca="1" si="43"/>
        <v>#N/A</v>
      </c>
      <c r="W71" s="20" t="e">
        <f t="shared" ca="1" si="44"/>
        <v>#N/A</v>
      </c>
      <c r="X71" s="20" t="e">
        <f t="shared" ca="1" si="61"/>
        <v>#N/A</v>
      </c>
      <c r="Y71" s="20" t="e">
        <f t="shared" ca="1" si="55"/>
        <v>#N/A</v>
      </c>
      <c r="Z71" s="20" t="e">
        <f t="shared" ca="1" si="56"/>
        <v>#N/A</v>
      </c>
      <c r="AA71" s="20" t="e">
        <f t="shared" ca="1" si="57"/>
        <v>#N/A</v>
      </c>
      <c r="AB71" s="20" t="e">
        <f t="shared" ca="1" si="62"/>
        <v>#N/A</v>
      </c>
      <c r="AC71" s="20" t="e">
        <f t="shared" ca="1" si="58"/>
        <v>#N/A</v>
      </c>
      <c r="AD71" s="20" t="e">
        <f t="shared" ca="1" si="59"/>
        <v>#N/A</v>
      </c>
      <c r="AE71" s="20" t="str">
        <f t="shared" ca="1" si="45"/>
        <v/>
      </c>
      <c r="AF71" s="20" t="str">
        <f t="shared" ca="1" si="46"/>
        <v/>
      </c>
      <c r="AG71" s="20" t="str">
        <f t="shared" si="47"/>
        <v>'ALL JOBS'!D77</v>
      </c>
      <c r="AH71" s="20" t="str">
        <f t="shared" si="48"/>
        <v>'ALL JOBS'!F77</v>
      </c>
      <c r="AJ71" s="20" t="e">
        <f ca="1">(OR(INDIRECT(L71)=MAX('ALL JOBS'!A:A),AJ70))</f>
        <v>#N/A</v>
      </c>
    </row>
    <row r="72" spans="1:36" ht="30" customHeight="1">
      <c r="A72" s="20" t="str">
        <f t="shared" ca="1" si="32"/>
        <v/>
      </c>
      <c r="B72" s="17" t="str">
        <f t="shared" ca="1" si="33"/>
        <v/>
      </c>
      <c r="C72" s="18" t="str">
        <f t="shared" ca="1" si="34"/>
        <v/>
      </c>
      <c r="D72" s="18" t="str">
        <f t="shared" ca="1" si="35"/>
        <v/>
      </c>
      <c r="E72" s="18" t="str">
        <f t="shared" ca="1" si="36"/>
        <v/>
      </c>
      <c r="F72" s="19" t="str">
        <f t="shared" ca="1" si="37"/>
        <v/>
      </c>
      <c r="G72" s="20" t="str">
        <f ca="1">IF($C$1="ALL",IF(INDIRECT(AH72)="","",IF(INDIRECT(AG72)&gt;MAX(Budget!$B$3,Budget!$E$3),"","Y")),IF(ISERR(FIND($C$1,INDIRECT(AH72))),"",IF(INDIRECT(AG72)&gt;MAX(Budget!$B$3,Budget!$E$3),"","Y")))</f>
        <v/>
      </c>
      <c r="H72" s="20">
        <f t="shared" si="38"/>
        <v>72</v>
      </c>
      <c r="I72" s="20" t="e">
        <f t="shared" ca="1" si="39"/>
        <v>#N/A</v>
      </c>
      <c r="J72" s="20" t="e">
        <f t="shared" ca="1" si="40"/>
        <v>#N/A</v>
      </c>
      <c r="K72" s="20" t="e">
        <f ca="1">CONCATENATE("G",J71+1,":I",'ALL JOBS'!$K$9)</f>
        <v>#N/A</v>
      </c>
      <c r="L72" s="20" t="e">
        <f t="shared" ca="1" si="60"/>
        <v>#N/A</v>
      </c>
      <c r="M72" s="20" t="e">
        <f t="shared" ca="1" si="49"/>
        <v>#N/A</v>
      </c>
      <c r="N72" s="20" t="e">
        <f t="shared" ca="1" si="50"/>
        <v>#N/A</v>
      </c>
      <c r="O72" s="20" t="e">
        <f t="shared" ca="1" si="51"/>
        <v>#N/A</v>
      </c>
      <c r="P72" s="20" t="e">
        <f t="shared" ca="1" si="52"/>
        <v>#N/A</v>
      </c>
      <c r="Q72" s="20" t="e">
        <f t="shared" ca="1" si="53"/>
        <v>#N/A</v>
      </c>
      <c r="R72" s="20" t="e">
        <f t="shared" ca="1" si="54"/>
        <v>#N/A</v>
      </c>
      <c r="S72" s="18" t="str">
        <f t="shared" ca="1" si="41"/>
        <v/>
      </c>
      <c r="T72" s="21" t="str">
        <f>IF($C$1="ALL",IF('ALL JOBS'!F78="","",IF('ALL JOBS'!D78&lt;=Budget!$B$3,"","Y")),IF(ISERR(FIND($C$1,'ALL JOBS'!F78)),IF($E$1="","",IF(ISERR(FIND($E$1,'ALL JOBS'!F78)),"",IF('ALL JOBS'!D78&lt;=Budget!$B$3,"","Y"))),IF('ALL JOBS'!D78&lt;=Budget!$B$3,"","Y")))</f>
        <v/>
      </c>
      <c r="U72" s="20">
        <f t="shared" si="42"/>
        <v>72</v>
      </c>
      <c r="V72" s="20" t="e">
        <f t="shared" ca="1" si="43"/>
        <v>#N/A</v>
      </c>
      <c r="W72" s="20" t="e">
        <f t="shared" ca="1" si="44"/>
        <v>#N/A</v>
      </c>
      <c r="X72" s="20" t="e">
        <f t="shared" ca="1" si="61"/>
        <v>#N/A</v>
      </c>
      <c r="Y72" s="20" t="e">
        <f t="shared" ca="1" si="55"/>
        <v>#N/A</v>
      </c>
      <c r="Z72" s="20" t="e">
        <f t="shared" ca="1" si="56"/>
        <v>#N/A</v>
      </c>
      <c r="AA72" s="20" t="e">
        <f t="shared" ca="1" si="57"/>
        <v>#N/A</v>
      </c>
      <c r="AB72" s="20" t="e">
        <f t="shared" ca="1" si="62"/>
        <v>#N/A</v>
      </c>
      <c r="AC72" s="20" t="e">
        <f t="shared" ca="1" si="58"/>
        <v>#N/A</v>
      </c>
      <c r="AD72" s="20" t="e">
        <f t="shared" ca="1" si="59"/>
        <v>#N/A</v>
      </c>
      <c r="AE72" s="20" t="str">
        <f t="shared" ca="1" si="45"/>
        <v/>
      </c>
      <c r="AF72" s="20" t="str">
        <f t="shared" ca="1" si="46"/>
        <v/>
      </c>
      <c r="AG72" s="20" t="str">
        <f t="shared" si="47"/>
        <v>'ALL JOBS'!D78</v>
      </c>
      <c r="AH72" s="20" t="str">
        <f t="shared" si="48"/>
        <v>'ALL JOBS'!F78</v>
      </c>
      <c r="AJ72" s="20" t="e">
        <f ca="1">(OR(INDIRECT(L72)=MAX('ALL JOBS'!A:A),AJ71))</f>
        <v>#N/A</v>
      </c>
    </row>
    <row r="73" spans="1:36" ht="30" customHeight="1">
      <c r="A73" s="20" t="str">
        <f t="shared" ca="1" si="32"/>
        <v/>
      </c>
      <c r="B73" s="17" t="str">
        <f t="shared" ca="1" si="33"/>
        <v/>
      </c>
      <c r="C73" s="18" t="str">
        <f t="shared" ca="1" si="34"/>
        <v/>
      </c>
      <c r="D73" s="18" t="str">
        <f t="shared" ca="1" si="35"/>
        <v/>
      </c>
      <c r="E73" s="18" t="str">
        <f t="shared" ca="1" si="36"/>
        <v/>
      </c>
      <c r="F73" s="19" t="str">
        <f t="shared" ca="1" si="37"/>
        <v/>
      </c>
      <c r="G73" s="20" t="str">
        <f ca="1">IF($C$1="ALL",IF(INDIRECT(AH73)="","",IF(INDIRECT(AG73)&gt;MAX(Budget!$B$3,Budget!$E$3),"","Y")),IF(ISERR(FIND($C$1,INDIRECT(AH73))),"",IF(INDIRECT(AG73)&gt;MAX(Budget!$B$3,Budget!$E$3),"","Y")))</f>
        <v>Y</v>
      </c>
      <c r="H73" s="20">
        <f t="shared" si="38"/>
        <v>73</v>
      </c>
      <c r="I73" s="20" t="e">
        <f t="shared" ca="1" si="39"/>
        <v>#N/A</v>
      </c>
      <c r="J73" s="20" t="e">
        <f t="shared" ca="1" si="40"/>
        <v>#N/A</v>
      </c>
      <c r="K73" s="20" t="e">
        <f ca="1">CONCATENATE("G",J72+1,":I",'ALL JOBS'!$K$9)</f>
        <v>#N/A</v>
      </c>
      <c r="L73" s="20" t="e">
        <f t="shared" ca="1" si="60"/>
        <v>#N/A</v>
      </c>
      <c r="M73" s="20" t="e">
        <f t="shared" ca="1" si="49"/>
        <v>#N/A</v>
      </c>
      <c r="N73" s="20" t="e">
        <f t="shared" ca="1" si="50"/>
        <v>#N/A</v>
      </c>
      <c r="O73" s="20" t="e">
        <f t="shared" ca="1" si="51"/>
        <v>#N/A</v>
      </c>
      <c r="P73" s="20" t="e">
        <f t="shared" ca="1" si="52"/>
        <v>#N/A</v>
      </c>
      <c r="Q73" s="20" t="e">
        <f t="shared" ca="1" si="53"/>
        <v>#N/A</v>
      </c>
      <c r="R73" s="20" t="e">
        <f t="shared" ca="1" si="54"/>
        <v>#N/A</v>
      </c>
      <c r="S73" s="18" t="str">
        <f t="shared" ca="1" si="41"/>
        <v/>
      </c>
      <c r="T73" s="21" t="str">
        <f>IF($C$1="ALL",IF('ALL JOBS'!F79="","",IF('ALL JOBS'!D79&lt;=Budget!$B$3,"","Y")),IF(ISERR(FIND($C$1,'ALL JOBS'!F79)),IF($E$1="","",IF(ISERR(FIND($E$1,'ALL JOBS'!F79)),"",IF('ALL JOBS'!D79&lt;=Budget!$B$3,"","Y"))),IF('ALL JOBS'!D79&lt;=Budget!$B$3,"","Y")))</f>
        <v/>
      </c>
      <c r="U73" s="20">
        <f t="shared" si="42"/>
        <v>73</v>
      </c>
      <c r="V73" s="20" t="e">
        <f t="shared" ca="1" si="43"/>
        <v>#N/A</v>
      </c>
      <c r="W73" s="20" t="e">
        <f t="shared" ca="1" si="44"/>
        <v>#N/A</v>
      </c>
      <c r="X73" s="20" t="e">
        <f t="shared" ca="1" si="61"/>
        <v>#N/A</v>
      </c>
      <c r="Y73" s="20" t="e">
        <f t="shared" ca="1" si="55"/>
        <v>#N/A</v>
      </c>
      <c r="Z73" s="20" t="e">
        <f t="shared" ca="1" si="56"/>
        <v>#N/A</v>
      </c>
      <c r="AA73" s="20" t="e">
        <f t="shared" ca="1" si="57"/>
        <v>#N/A</v>
      </c>
      <c r="AB73" s="20" t="e">
        <f t="shared" ca="1" si="62"/>
        <v>#N/A</v>
      </c>
      <c r="AC73" s="20" t="e">
        <f t="shared" ca="1" si="58"/>
        <v>#N/A</v>
      </c>
      <c r="AD73" s="20" t="e">
        <f t="shared" ca="1" si="59"/>
        <v>#N/A</v>
      </c>
      <c r="AE73" s="20" t="str">
        <f t="shared" ca="1" si="45"/>
        <v/>
      </c>
      <c r="AF73" s="20" t="str">
        <f t="shared" ca="1" si="46"/>
        <v/>
      </c>
      <c r="AG73" s="20" t="str">
        <f t="shared" si="47"/>
        <v>'ALL JOBS'!D79</v>
      </c>
      <c r="AH73" s="20" t="str">
        <f t="shared" si="48"/>
        <v>'ALL JOBS'!F79</v>
      </c>
      <c r="AJ73" s="20" t="e">
        <f ca="1">(OR(INDIRECT(L73)=MAX('ALL JOBS'!A:A),AJ72))</f>
        <v>#N/A</v>
      </c>
    </row>
    <row r="74" spans="1:36" ht="30" customHeight="1">
      <c r="A74" s="20" t="str">
        <f t="shared" ca="1" si="32"/>
        <v/>
      </c>
      <c r="B74" s="17" t="str">
        <f t="shared" ca="1" si="33"/>
        <v/>
      </c>
      <c r="C74" s="18" t="str">
        <f t="shared" ca="1" si="34"/>
        <v/>
      </c>
      <c r="D74" s="18" t="str">
        <f t="shared" ca="1" si="35"/>
        <v/>
      </c>
      <c r="E74" s="18" t="str">
        <f t="shared" ca="1" si="36"/>
        <v/>
      </c>
      <c r="F74" s="19" t="str">
        <f t="shared" ca="1" si="37"/>
        <v/>
      </c>
      <c r="G74" s="20" t="str">
        <f ca="1">IF($C$1="ALL",IF(INDIRECT(AH74)="","",IF(INDIRECT(AG74)&gt;MAX(Budget!$B$3,Budget!$E$3),"","Y")),IF(ISERR(FIND($C$1,INDIRECT(AH74))),"",IF(INDIRECT(AG74)&gt;MAX(Budget!$B$3,Budget!$E$3),"","Y")))</f>
        <v>Y</v>
      </c>
      <c r="H74" s="20">
        <f t="shared" si="38"/>
        <v>74</v>
      </c>
      <c r="I74" s="20" t="e">
        <f t="shared" ca="1" si="39"/>
        <v>#N/A</v>
      </c>
      <c r="J74" s="20" t="e">
        <f t="shared" ca="1" si="40"/>
        <v>#N/A</v>
      </c>
      <c r="K74" s="20" t="e">
        <f ca="1">CONCATENATE("G",J73+1,":I",'ALL JOBS'!$K$9)</f>
        <v>#N/A</v>
      </c>
      <c r="L74" s="20" t="e">
        <f t="shared" ca="1" si="60"/>
        <v>#N/A</v>
      </c>
      <c r="M74" s="20" t="e">
        <f t="shared" ca="1" si="49"/>
        <v>#N/A</v>
      </c>
      <c r="N74" s="20" t="e">
        <f t="shared" ca="1" si="50"/>
        <v>#N/A</v>
      </c>
      <c r="O74" s="20" t="e">
        <f t="shared" ca="1" si="51"/>
        <v>#N/A</v>
      </c>
      <c r="P74" s="20" t="e">
        <f t="shared" ca="1" si="52"/>
        <v>#N/A</v>
      </c>
      <c r="Q74" s="20" t="e">
        <f t="shared" ca="1" si="53"/>
        <v>#N/A</v>
      </c>
      <c r="R74" s="20" t="e">
        <f t="shared" ca="1" si="54"/>
        <v>#N/A</v>
      </c>
      <c r="S74" s="18" t="str">
        <f t="shared" ca="1" si="41"/>
        <v/>
      </c>
      <c r="T74" s="21" t="str">
        <f>IF($C$1="ALL",IF('ALL JOBS'!F80="","",IF('ALL JOBS'!D80&lt;=Budget!$B$3,"","Y")),IF(ISERR(FIND($C$1,'ALL JOBS'!F80)),IF($E$1="","",IF(ISERR(FIND($E$1,'ALL JOBS'!F80)),"",IF('ALL JOBS'!D80&lt;=Budget!$B$3,"","Y"))),IF('ALL JOBS'!D80&lt;=Budget!$B$3,"","Y")))</f>
        <v/>
      </c>
      <c r="U74" s="20">
        <f t="shared" si="42"/>
        <v>74</v>
      </c>
      <c r="V74" s="20" t="e">
        <f t="shared" ca="1" si="43"/>
        <v>#N/A</v>
      </c>
      <c r="W74" s="20" t="e">
        <f t="shared" ca="1" si="44"/>
        <v>#N/A</v>
      </c>
      <c r="X74" s="20" t="e">
        <f t="shared" ca="1" si="61"/>
        <v>#N/A</v>
      </c>
      <c r="Y74" s="20" t="e">
        <f t="shared" ca="1" si="55"/>
        <v>#N/A</v>
      </c>
      <c r="Z74" s="20" t="e">
        <f t="shared" ca="1" si="56"/>
        <v>#N/A</v>
      </c>
      <c r="AA74" s="20" t="e">
        <f t="shared" ca="1" si="57"/>
        <v>#N/A</v>
      </c>
      <c r="AB74" s="20" t="e">
        <f t="shared" ca="1" si="62"/>
        <v>#N/A</v>
      </c>
      <c r="AC74" s="20" t="e">
        <f t="shared" ca="1" si="58"/>
        <v>#N/A</v>
      </c>
      <c r="AD74" s="20" t="e">
        <f t="shared" ca="1" si="59"/>
        <v>#N/A</v>
      </c>
      <c r="AE74" s="20" t="str">
        <f t="shared" ca="1" si="45"/>
        <v/>
      </c>
      <c r="AF74" s="20" t="str">
        <f t="shared" ca="1" si="46"/>
        <v/>
      </c>
      <c r="AG74" s="20" t="str">
        <f t="shared" si="47"/>
        <v>'ALL JOBS'!D80</v>
      </c>
      <c r="AH74" s="20" t="str">
        <f t="shared" si="48"/>
        <v>'ALL JOBS'!F80</v>
      </c>
      <c r="AJ74" s="20" t="e">
        <f ca="1">(OR(INDIRECT(L74)=MAX('ALL JOBS'!A:A),AJ73))</f>
        <v>#N/A</v>
      </c>
    </row>
    <row r="75" spans="1:36" ht="30" customHeight="1">
      <c r="A75" s="20" t="str">
        <f t="shared" ca="1" si="32"/>
        <v/>
      </c>
      <c r="B75" s="17" t="str">
        <f t="shared" ca="1" si="33"/>
        <v/>
      </c>
      <c r="C75" s="18" t="str">
        <f t="shared" ca="1" si="34"/>
        <v/>
      </c>
      <c r="D75" s="18" t="str">
        <f t="shared" ca="1" si="35"/>
        <v/>
      </c>
      <c r="E75" s="18" t="str">
        <f t="shared" ca="1" si="36"/>
        <v/>
      </c>
      <c r="F75" s="19" t="str">
        <f t="shared" ca="1" si="37"/>
        <v/>
      </c>
      <c r="G75" s="20" t="str">
        <f ca="1">IF($C$1="ALL",IF(INDIRECT(AH75)="","",IF(INDIRECT(AG75)&gt;MAX(Budget!$B$3,Budget!$E$3),"","Y")),IF(ISERR(FIND($C$1,INDIRECT(AH75))),"",IF(INDIRECT(AG75)&gt;MAX(Budget!$B$3,Budget!$E$3),"","Y")))</f>
        <v>Y</v>
      </c>
      <c r="H75" s="20">
        <f t="shared" si="38"/>
        <v>75</v>
      </c>
      <c r="I75" s="20" t="e">
        <f t="shared" ca="1" si="39"/>
        <v>#N/A</v>
      </c>
      <c r="J75" s="20" t="e">
        <f t="shared" ca="1" si="40"/>
        <v>#N/A</v>
      </c>
      <c r="K75" s="20" t="e">
        <f ca="1">CONCATENATE("G",J74+1,":I",'ALL JOBS'!$K$9)</f>
        <v>#N/A</v>
      </c>
      <c r="L75" s="20" t="e">
        <f t="shared" ca="1" si="60"/>
        <v>#N/A</v>
      </c>
      <c r="M75" s="20" t="e">
        <f t="shared" ca="1" si="49"/>
        <v>#N/A</v>
      </c>
      <c r="N75" s="20" t="e">
        <f t="shared" ca="1" si="50"/>
        <v>#N/A</v>
      </c>
      <c r="O75" s="20" t="e">
        <f t="shared" ca="1" si="51"/>
        <v>#N/A</v>
      </c>
      <c r="P75" s="20" t="e">
        <f t="shared" ca="1" si="52"/>
        <v>#N/A</v>
      </c>
      <c r="Q75" s="20" t="e">
        <f t="shared" ca="1" si="53"/>
        <v>#N/A</v>
      </c>
      <c r="R75" s="20" t="e">
        <f t="shared" ca="1" si="54"/>
        <v>#N/A</v>
      </c>
      <c r="S75" s="18" t="str">
        <f t="shared" ca="1" si="41"/>
        <v/>
      </c>
      <c r="T75" s="21" t="str">
        <f>IF($C$1="ALL",IF('ALL JOBS'!F81="","",IF('ALL JOBS'!D81&lt;=Budget!$B$3,"","Y")),IF(ISERR(FIND($C$1,'ALL JOBS'!F81)),IF($E$1="","",IF(ISERR(FIND($E$1,'ALL JOBS'!F81)),"",IF('ALL JOBS'!D81&lt;=Budget!$B$3,"","Y"))),IF('ALL JOBS'!D81&lt;=Budget!$B$3,"","Y")))</f>
        <v/>
      </c>
      <c r="U75" s="20">
        <f t="shared" si="42"/>
        <v>75</v>
      </c>
      <c r="V75" s="20" t="e">
        <f t="shared" ca="1" si="43"/>
        <v>#N/A</v>
      </c>
      <c r="W75" s="20" t="e">
        <f t="shared" ca="1" si="44"/>
        <v>#N/A</v>
      </c>
      <c r="X75" s="20" t="e">
        <f t="shared" ca="1" si="61"/>
        <v>#N/A</v>
      </c>
      <c r="Y75" s="20" t="e">
        <f t="shared" ca="1" si="55"/>
        <v>#N/A</v>
      </c>
      <c r="Z75" s="20" t="e">
        <f t="shared" ca="1" si="56"/>
        <v>#N/A</v>
      </c>
      <c r="AA75" s="20" t="e">
        <f t="shared" ca="1" si="57"/>
        <v>#N/A</v>
      </c>
      <c r="AB75" s="20" t="e">
        <f t="shared" ca="1" si="62"/>
        <v>#N/A</v>
      </c>
      <c r="AC75" s="20" t="e">
        <f t="shared" ca="1" si="58"/>
        <v>#N/A</v>
      </c>
      <c r="AD75" s="20" t="e">
        <f t="shared" ca="1" si="59"/>
        <v>#N/A</v>
      </c>
      <c r="AE75" s="20" t="str">
        <f t="shared" ca="1" si="45"/>
        <v/>
      </c>
      <c r="AF75" s="20" t="str">
        <f t="shared" ca="1" si="46"/>
        <v/>
      </c>
      <c r="AG75" s="20" t="str">
        <f t="shared" si="47"/>
        <v>'ALL JOBS'!D81</v>
      </c>
      <c r="AH75" s="20" t="str">
        <f t="shared" si="48"/>
        <v>'ALL JOBS'!F81</v>
      </c>
      <c r="AJ75" s="20" t="e">
        <f ca="1">(OR(INDIRECT(L75)=MAX('ALL JOBS'!A:A),AJ74))</f>
        <v>#N/A</v>
      </c>
    </row>
    <row r="76" spans="1:36" ht="30" customHeight="1">
      <c r="A76" s="20" t="str">
        <f t="shared" ca="1" si="32"/>
        <v/>
      </c>
      <c r="B76" s="17" t="str">
        <f t="shared" ca="1" si="33"/>
        <v/>
      </c>
      <c r="C76" s="18" t="str">
        <f t="shared" ca="1" si="34"/>
        <v/>
      </c>
      <c r="D76" s="18" t="str">
        <f t="shared" ca="1" si="35"/>
        <v/>
      </c>
      <c r="E76" s="18" t="str">
        <f t="shared" ca="1" si="36"/>
        <v/>
      </c>
      <c r="F76" s="19" t="str">
        <f t="shared" ca="1" si="37"/>
        <v/>
      </c>
      <c r="G76" s="20" t="str">
        <f ca="1">IF($C$1="ALL",IF(INDIRECT(AH76)="","",IF(INDIRECT(AG76)&gt;MAX(Budget!$B$3,Budget!$E$3),"","Y")),IF(ISERR(FIND($C$1,INDIRECT(AH76))),"",IF(INDIRECT(AG76)&gt;MAX(Budget!$B$3,Budget!$E$3),"","Y")))</f>
        <v/>
      </c>
      <c r="H76" s="20">
        <f t="shared" si="38"/>
        <v>76</v>
      </c>
      <c r="I76" s="20" t="e">
        <f t="shared" ca="1" si="39"/>
        <v>#N/A</v>
      </c>
      <c r="J76" s="20" t="e">
        <f t="shared" ca="1" si="40"/>
        <v>#N/A</v>
      </c>
      <c r="K76" s="20" t="e">
        <f ca="1">CONCATENATE("G",J75+1,":I",'ALL JOBS'!$K$9)</f>
        <v>#N/A</v>
      </c>
      <c r="L76" s="20" t="e">
        <f t="shared" ca="1" si="60"/>
        <v>#N/A</v>
      </c>
      <c r="M76" s="20" t="e">
        <f t="shared" ca="1" si="49"/>
        <v>#N/A</v>
      </c>
      <c r="N76" s="20" t="e">
        <f t="shared" ca="1" si="50"/>
        <v>#N/A</v>
      </c>
      <c r="O76" s="20" t="e">
        <f t="shared" ca="1" si="51"/>
        <v>#N/A</v>
      </c>
      <c r="P76" s="20" t="e">
        <f t="shared" ca="1" si="52"/>
        <v>#N/A</v>
      </c>
      <c r="Q76" s="20" t="e">
        <f t="shared" ca="1" si="53"/>
        <v>#N/A</v>
      </c>
      <c r="R76" s="20" t="e">
        <f t="shared" ca="1" si="54"/>
        <v>#N/A</v>
      </c>
      <c r="S76" s="18" t="str">
        <f t="shared" ca="1" si="41"/>
        <v/>
      </c>
      <c r="T76" s="21" t="str">
        <f>IF($C$1="ALL",IF('ALL JOBS'!F82="","",IF('ALL JOBS'!D82&lt;=Budget!$B$3,"","Y")),IF(ISERR(FIND($C$1,'ALL JOBS'!F82)),IF($E$1="","",IF(ISERR(FIND($E$1,'ALL JOBS'!F82)),"",IF('ALL JOBS'!D82&lt;=Budget!$B$3,"","Y"))),IF('ALL JOBS'!D82&lt;=Budget!$B$3,"","Y")))</f>
        <v/>
      </c>
      <c r="U76" s="20">
        <f t="shared" si="42"/>
        <v>76</v>
      </c>
      <c r="V76" s="20" t="e">
        <f t="shared" ca="1" si="43"/>
        <v>#N/A</v>
      </c>
      <c r="W76" s="20" t="e">
        <f t="shared" ca="1" si="44"/>
        <v>#N/A</v>
      </c>
      <c r="X76" s="20" t="e">
        <f t="shared" ca="1" si="61"/>
        <v>#N/A</v>
      </c>
      <c r="Y76" s="20" t="e">
        <f t="shared" ca="1" si="55"/>
        <v>#N/A</v>
      </c>
      <c r="Z76" s="20" t="e">
        <f t="shared" ca="1" si="56"/>
        <v>#N/A</v>
      </c>
      <c r="AA76" s="20" t="e">
        <f t="shared" ca="1" si="57"/>
        <v>#N/A</v>
      </c>
      <c r="AB76" s="20" t="e">
        <f t="shared" ca="1" si="62"/>
        <v>#N/A</v>
      </c>
      <c r="AC76" s="20" t="e">
        <f t="shared" ca="1" si="58"/>
        <v>#N/A</v>
      </c>
      <c r="AD76" s="20" t="e">
        <f t="shared" ca="1" si="59"/>
        <v>#N/A</v>
      </c>
      <c r="AE76" s="20" t="str">
        <f t="shared" ca="1" si="45"/>
        <v/>
      </c>
      <c r="AF76" s="20" t="str">
        <f t="shared" ca="1" si="46"/>
        <v/>
      </c>
      <c r="AG76" s="20" t="str">
        <f t="shared" si="47"/>
        <v>'ALL JOBS'!D82</v>
      </c>
      <c r="AH76" s="20" t="str">
        <f t="shared" si="48"/>
        <v>'ALL JOBS'!F82</v>
      </c>
      <c r="AJ76" s="20" t="e">
        <f ca="1">(OR(INDIRECT(L76)=MAX('ALL JOBS'!A:A),AJ75))</f>
        <v>#N/A</v>
      </c>
    </row>
    <row r="77" spans="1:36" ht="30" customHeight="1" thickBot="1">
      <c r="A77" s="20" t="str">
        <f t="shared" ca="1" si="32"/>
        <v/>
      </c>
      <c r="B77" s="17" t="str">
        <f t="shared" ca="1" si="33"/>
        <v/>
      </c>
      <c r="C77" s="18" t="str">
        <f t="shared" ca="1" si="34"/>
        <v/>
      </c>
      <c r="D77" s="18" t="str">
        <f t="shared" ca="1" si="35"/>
        <v/>
      </c>
      <c r="E77" s="18" t="str">
        <f t="shared" ca="1" si="36"/>
        <v/>
      </c>
      <c r="F77" s="19" t="str">
        <f t="shared" ca="1" si="37"/>
        <v/>
      </c>
      <c r="G77" s="20" t="str">
        <f ca="1">IF($C$1="ALL",IF(INDIRECT(AH77)="","",IF(INDIRECT(AG77)&gt;MAX(Budget!$B$3,Budget!$E$3),"","Y")),IF(ISERR(FIND($C$1,INDIRECT(AH77))),"",IF(INDIRECT(AG77)&gt;MAX(Budget!$B$3,Budget!$E$3),"","Y")))</f>
        <v/>
      </c>
      <c r="H77" s="20">
        <f t="shared" si="38"/>
        <v>77</v>
      </c>
      <c r="I77" s="20" t="e">
        <f t="shared" ca="1" si="39"/>
        <v>#N/A</v>
      </c>
      <c r="J77" s="20" t="e">
        <f t="shared" ca="1" si="40"/>
        <v>#N/A</v>
      </c>
      <c r="K77" s="20" t="e">
        <f ca="1">CONCATENATE("G",J76+1,":I",'ALL JOBS'!$K$9)</f>
        <v>#N/A</v>
      </c>
      <c r="L77" s="20" t="e">
        <f t="shared" ca="1" si="60"/>
        <v>#N/A</v>
      </c>
      <c r="M77" s="20" t="e">
        <f t="shared" ca="1" si="49"/>
        <v>#N/A</v>
      </c>
      <c r="N77" s="20" t="e">
        <f t="shared" ca="1" si="50"/>
        <v>#N/A</v>
      </c>
      <c r="O77" s="20" t="e">
        <f t="shared" ca="1" si="51"/>
        <v>#N/A</v>
      </c>
      <c r="P77" s="20" t="e">
        <f t="shared" ca="1" si="52"/>
        <v>#N/A</v>
      </c>
      <c r="Q77" s="20" t="e">
        <f t="shared" ca="1" si="53"/>
        <v>#N/A</v>
      </c>
      <c r="R77" s="20" t="e">
        <f t="shared" ca="1" si="54"/>
        <v>#N/A</v>
      </c>
      <c r="S77" s="18" t="str">
        <f t="shared" ca="1" si="41"/>
        <v/>
      </c>
      <c r="T77" s="21" t="str">
        <f>IF($C$1="ALL",IF('ALL JOBS'!F83="","",IF('ALL JOBS'!D83&lt;=Budget!$B$3,"","Y")),IF(ISERR(FIND($C$1,'ALL JOBS'!F83)),IF($E$1="","",IF(ISERR(FIND($E$1,'ALL JOBS'!F83)),"",IF('ALL JOBS'!D83&lt;=Budget!$B$3,"","Y"))),IF('ALL JOBS'!D83&lt;=Budget!$B$3,"","Y")))</f>
        <v/>
      </c>
      <c r="U77" s="20">
        <f t="shared" si="42"/>
        <v>77</v>
      </c>
      <c r="V77" s="20" t="e">
        <f t="shared" ca="1" si="43"/>
        <v>#N/A</v>
      </c>
      <c r="W77" s="20" t="e">
        <f t="shared" ca="1" si="44"/>
        <v>#N/A</v>
      </c>
      <c r="X77" s="20" t="e">
        <f t="shared" ca="1" si="61"/>
        <v>#N/A</v>
      </c>
      <c r="Y77" s="20" t="e">
        <f t="shared" ca="1" si="55"/>
        <v>#N/A</v>
      </c>
      <c r="Z77" s="20" t="e">
        <f t="shared" ca="1" si="56"/>
        <v>#N/A</v>
      </c>
      <c r="AA77" s="20" t="e">
        <f t="shared" ca="1" si="57"/>
        <v>#N/A</v>
      </c>
      <c r="AB77" s="20" t="e">
        <f t="shared" ca="1" si="62"/>
        <v>#N/A</v>
      </c>
      <c r="AC77" s="20" t="e">
        <f t="shared" ca="1" si="58"/>
        <v>#N/A</v>
      </c>
      <c r="AD77" s="20" t="e">
        <f t="shared" ca="1" si="59"/>
        <v>#N/A</v>
      </c>
      <c r="AE77" s="20" t="str">
        <f t="shared" ca="1" si="45"/>
        <v/>
      </c>
      <c r="AF77" s="20" t="str">
        <f t="shared" ca="1" si="46"/>
        <v/>
      </c>
      <c r="AG77" s="20" t="str">
        <f t="shared" si="47"/>
        <v>'ALL JOBS'!D83</v>
      </c>
      <c r="AH77" s="20" t="str">
        <f t="shared" si="48"/>
        <v>'ALL JOBS'!F83</v>
      </c>
      <c r="AJ77" s="20" t="e">
        <f ca="1">(OR(INDIRECT(L77)=MAX('ALL JOBS'!A:A),AJ76))</f>
        <v>#N/A</v>
      </c>
    </row>
    <row r="78" spans="1:36" ht="16" thickTop="1">
      <c r="C78" s="169" t="s">
        <v>88</v>
      </c>
      <c r="D78" s="170"/>
      <c r="AF78" s="20" t="str">
        <f>IF(AND($AE79="Y",$AE78=""),"",IF($AE78="Y",0,IF($S78="Y",ROW(B78),"")))</f>
        <v/>
      </c>
    </row>
    <row r="79" spans="1:36">
      <c r="C79" s="36" t="s">
        <v>87</v>
      </c>
      <c r="D79" s="37" t="s">
        <v>86</v>
      </c>
      <c r="AF79" s="20" t="str">
        <f>IF(AND($AE80="Y",$AE79=""),"",IF($AE79="Y",0,IF($S79="Y",ROW(D79),"")))</f>
        <v/>
      </c>
    </row>
    <row r="80" spans="1:36" ht="15.75" customHeight="1">
      <c r="B80" s="8">
        <v>0</v>
      </c>
      <c r="C80" s="38" t="s">
        <v>54</v>
      </c>
      <c r="D80" s="39"/>
    </row>
    <row r="81" spans="2:4" ht="15.75" customHeight="1">
      <c r="B81" s="8">
        <v>1</v>
      </c>
      <c r="C81" s="38" t="s">
        <v>41</v>
      </c>
      <c r="D81" s="39">
        <f>B81+1</f>
        <v>2</v>
      </c>
    </row>
    <row r="82" spans="2:4" ht="15.75" customHeight="1">
      <c r="B82" s="8">
        <f>B81+1</f>
        <v>2</v>
      </c>
      <c r="C82" s="38" t="s">
        <v>48</v>
      </c>
      <c r="D82" s="39">
        <f t="shared" ref="D82:D95" si="63">B82+1</f>
        <v>3</v>
      </c>
    </row>
    <row r="83" spans="2:4" ht="15.75" customHeight="1">
      <c r="B83" s="8">
        <f t="shared" ref="B83:B92" si="64">B82+1</f>
        <v>3</v>
      </c>
      <c r="C83" s="38" t="s">
        <v>37</v>
      </c>
      <c r="D83" s="39">
        <f t="shared" si="63"/>
        <v>4</v>
      </c>
    </row>
    <row r="84" spans="2:4" ht="15.75" customHeight="1">
      <c r="B84" s="8">
        <f t="shared" si="64"/>
        <v>4</v>
      </c>
      <c r="C84" s="38" t="s">
        <v>9</v>
      </c>
      <c r="D84" s="39">
        <f t="shared" si="63"/>
        <v>5</v>
      </c>
    </row>
    <row r="85" spans="2:4" ht="15.75" customHeight="1">
      <c r="B85" s="8">
        <f t="shared" si="64"/>
        <v>5</v>
      </c>
      <c r="C85" s="38" t="s">
        <v>45</v>
      </c>
      <c r="D85" s="39">
        <f t="shared" si="63"/>
        <v>6</v>
      </c>
    </row>
    <row r="86" spans="2:4" ht="15.75" customHeight="1">
      <c r="B86" s="8">
        <f t="shared" si="64"/>
        <v>6</v>
      </c>
      <c r="C86" s="38" t="s">
        <v>36</v>
      </c>
      <c r="D86" s="39">
        <f t="shared" si="63"/>
        <v>7</v>
      </c>
    </row>
    <row r="87" spans="2:4" ht="15.75" customHeight="1">
      <c r="B87" s="8">
        <f t="shared" si="64"/>
        <v>7</v>
      </c>
      <c r="C87" s="38" t="s">
        <v>63</v>
      </c>
      <c r="D87" s="39">
        <f t="shared" si="63"/>
        <v>8</v>
      </c>
    </row>
    <row r="88" spans="2:4" ht="15.75" customHeight="1">
      <c r="B88" s="8">
        <f t="shared" si="64"/>
        <v>8</v>
      </c>
      <c r="C88" s="38" t="s">
        <v>40</v>
      </c>
      <c r="D88" s="39">
        <f t="shared" si="63"/>
        <v>9</v>
      </c>
    </row>
    <row r="89" spans="2:4" ht="15.75" customHeight="1">
      <c r="B89" s="8">
        <f t="shared" si="64"/>
        <v>9</v>
      </c>
      <c r="C89" s="38" t="s">
        <v>66</v>
      </c>
      <c r="D89" s="39">
        <f t="shared" si="63"/>
        <v>10</v>
      </c>
    </row>
    <row r="90" spans="2:4" ht="15.75" customHeight="1">
      <c r="B90" s="8">
        <f t="shared" si="64"/>
        <v>10</v>
      </c>
      <c r="C90" s="38" t="s">
        <v>11</v>
      </c>
      <c r="D90" s="39">
        <f t="shared" si="63"/>
        <v>11</v>
      </c>
    </row>
    <row r="91" spans="2:4" ht="15.75" customHeight="1">
      <c r="B91" s="8">
        <f t="shared" si="64"/>
        <v>11</v>
      </c>
      <c r="C91" s="38" t="s">
        <v>59</v>
      </c>
      <c r="D91" s="39">
        <f t="shared" si="63"/>
        <v>12</v>
      </c>
    </row>
    <row r="92" spans="2:4">
      <c r="B92" s="8">
        <f t="shared" si="64"/>
        <v>12</v>
      </c>
      <c r="C92" s="38" t="s">
        <v>84</v>
      </c>
      <c r="D92" s="39">
        <f t="shared" si="63"/>
        <v>13</v>
      </c>
    </row>
    <row r="93" spans="2:4">
      <c r="B93" s="20">
        <v>13</v>
      </c>
      <c r="C93" s="38" t="s">
        <v>163</v>
      </c>
      <c r="D93" s="39">
        <f t="shared" si="63"/>
        <v>14</v>
      </c>
    </row>
    <row r="94" spans="2:4">
      <c r="B94" s="20">
        <v>14</v>
      </c>
      <c r="C94" s="38" t="s">
        <v>162</v>
      </c>
      <c r="D94" s="39">
        <f t="shared" si="63"/>
        <v>15</v>
      </c>
    </row>
    <row r="95" spans="2:4">
      <c r="B95" s="20">
        <v>15</v>
      </c>
      <c r="C95" s="38"/>
      <c r="D95" s="39">
        <f t="shared" si="63"/>
        <v>16</v>
      </c>
    </row>
  </sheetData>
  <mergeCells count="4">
    <mergeCell ref="G1:S1"/>
    <mergeCell ref="T1:AD1"/>
    <mergeCell ref="C78:D78"/>
    <mergeCell ref="E1:E2"/>
  </mergeCells>
  <phoneticPr fontId="17" type="noConversion"/>
  <conditionalFormatting sqref="D1:D19 D78 D80:D65536">
    <cfRule type="cellIs" dxfId="2" priority="4" stopIfTrue="1" operator="equal">
      <formula>"Not this year"</formula>
    </cfRule>
  </conditionalFormatting>
  <conditionalFormatting sqref="D20:D77">
    <cfRule type="cellIs" dxfId="1" priority="1" stopIfTrue="1" operator="equal">
      <formula>"Not this year"</formula>
    </cfRule>
  </conditionalFormatting>
  <printOptions horizontalCentered="1"/>
  <pageMargins left="0.19685039370078741" right="0.19685039370078741" top="0.39370078740157483" bottom="0.39370078740157483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V44"/>
  <sheetViews>
    <sheetView showGridLines="0" tabSelected="1" topLeftCell="A4" workbookViewId="0">
      <selection activeCell="E17" sqref="E17"/>
    </sheetView>
  </sheetViews>
  <sheetFormatPr defaultColWidth="8.4609375" defaultRowHeight="15.5"/>
  <cols>
    <col min="1" max="1" width="31.69140625" style="123" customWidth="1"/>
    <col min="2" max="2" width="9.23046875" style="124" customWidth="1"/>
    <col min="3" max="3" width="4.07421875" style="123" customWidth="1"/>
    <col min="4" max="4" width="25" style="123" customWidth="1"/>
    <col min="5" max="5" width="9.23046875" style="124" customWidth="1"/>
    <col min="6" max="6" width="16.23046875" style="20" customWidth="1"/>
    <col min="7" max="16" width="11.4609375" style="20" customWidth="1"/>
    <col min="17" max="16384" width="8.4609375" style="127"/>
  </cols>
  <sheetData>
    <row r="1" spans="1:256" ht="23">
      <c r="A1" s="126" t="s">
        <v>4</v>
      </c>
    </row>
    <row r="3" spans="1:256">
      <c r="A3" s="128" t="s">
        <v>38</v>
      </c>
      <c r="B3" s="129">
        <f>'ALL JOBS'!F79</f>
        <v>5.9</v>
      </c>
      <c r="D3" s="130"/>
      <c r="E3" s="131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pans="1:256"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pans="1:256" s="8" customFormat="1">
      <c r="A5" s="132" t="s">
        <v>12</v>
      </c>
      <c r="B5" s="133"/>
      <c r="C5" s="134"/>
      <c r="D5" s="132" t="s">
        <v>13</v>
      </c>
      <c r="E5" s="133"/>
    </row>
    <row r="6" spans="1:256"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7" spans="1:256">
      <c r="A7" s="123" t="s">
        <v>14</v>
      </c>
      <c r="B7" s="124">
        <f>B25</f>
        <v>2849.9470000000001</v>
      </c>
      <c r="D7" s="123" t="s">
        <v>15</v>
      </c>
      <c r="E7" s="124">
        <f>E24*(E28+E29)</f>
        <v>4500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pans="1:256">
      <c r="A8" s="123" t="s">
        <v>16</v>
      </c>
      <c r="B8" s="124">
        <f>+'ALL JOBS'!G79</f>
        <v>1471</v>
      </c>
      <c r="D8" s="123" t="s">
        <v>17</v>
      </c>
      <c r="E8" s="124">
        <f>E21*E30</f>
        <v>600</v>
      </c>
      <c r="G8" s="123"/>
      <c r="H8" s="123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pans="1:256">
      <c r="A9" s="123" t="s">
        <v>18</v>
      </c>
      <c r="B9" s="124">
        <v>0</v>
      </c>
      <c r="D9" s="123" t="s">
        <v>69</v>
      </c>
      <c r="E9" s="124">
        <f>(B30-E32)*E31</f>
        <v>60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pans="1:256">
      <c r="A10" s="123" t="s">
        <v>44</v>
      </c>
      <c r="B10" s="124">
        <v>400</v>
      </c>
      <c r="D10" s="123" t="s">
        <v>68</v>
      </c>
      <c r="E10" s="135">
        <f>E22</f>
        <v>90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>
      <c r="A11" s="123" t="s">
        <v>32</v>
      </c>
      <c r="B11" s="124">
        <v>0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>
      <c r="A12" s="134" t="s">
        <v>154</v>
      </c>
      <c r="F12" s="136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>
      <c r="A13" s="123" t="s">
        <v>155</v>
      </c>
      <c r="B13" s="124">
        <v>8100</v>
      </c>
      <c r="D13" s="125" t="s">
        <v>158</v>
      </c>
      <c r="E13" s="124">
        <f>E28*E25</f>
        <v>6300</v>
      </c>
      <c r="F13" s="136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>
      <c r="A14" s="123" t="s">
        <v>156</v>
      </c>
      <c r="B14" s="124">
        <v>400</v>
      </c>
      <c r="F14" s="136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>
      <c r="A15" s="137" t="s">
        <v>33</v>
      </c>
      <c r="B15" s="138">
        <f>SUM(B7:B14)</f>
        <v>13220.947</v>
      </c>
      <c r="D15" s="137" t="s">
        <v>19</v>
      </c>
      <c r="E15" s="138">
        <f>SUM(E7:E14)</f>
        <v>11550</v>
      </c>
      <c r="F15" s="136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>
      <c r="F16" s="18" t="s">
        <v>75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>
      <c r="A17" s="123" t="s">
        <v>151</v>
      </c>
      <c r="B17" s="124">
        <f>E18-B15</f>
        <v>240.10300000000097</v>
      </c>
      <c r="D17" s="123" t="s">
        <v>106</v>
      </c>
      <c r="E17" s="124">
        <v>1911.0500000000011</v>
      </c>
      <c r="F17" s="136">
        <f>-E17+B17</f>
        <v>-1670.9470000000001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>
      <c r="A18" s="139" t="s">
        <v>20</v>
      </c>
      <c r="B18" s="138">
        <f>B15+B17</f>
        <v>13461.050000000001</v>
      </c>
      <c r="D18" s="137" t="s">
        <v>21</v>
      </c>
      <c r="E18" s="138">
        <f>E15+E17</f>
        <v>13461.050000000001</v>
      </c>
      <c r="F18" s="124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>
      <c r="A21" s="123" t="s">
        <v>31</v>
      </c>
      <c r="B21" s="124">
        <v>750</v>
      </c>
      <c r="D21" s="123" t="s">
        <v>62</v>
      </c>
      <c r="E21" s="124">
        <v>20</v>
      </c>
      <c r="F21" s="14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>
      <c r="A22" s="123" t="s">
        <v>30</v>
      </c>
      <c r="B22" s="124">
        <v>700</v>
      </c>
      <c r="D22" s="123" t="s">
        <v>34</v>
      </c>
      <c r="E22" s="135">
        <f>(B27-E34)*E33</f>
        <v>90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>
      <c r="A23" s="123" t="s">
        <v>22</v>
      </c>
      <c r="B23" s="124">
        <f>273</f>
        <v>273</v>
      </c>
      <c r="D23" s="123" t="s">
        <v>35</v>
      </c>
      <c r="E23" s="124">
        <f>(B30-E32)*E31</f>
        <v>60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>
      <c r="A24" s="123" t="s">
        <v>23</v>
      </c>
      <c r="B24" s="124">
        <f>1104.85*1.02</f>
        <v>1126.9469999999999</v>
      </c>
      <c r="D24" s="123" t="s">
        <v>24</v>
      </c>
      <c r="E24" s="124">
        <v>500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>
      <c r="B25" s="138">
        <f>SUM(B21:B24)</f>
        <v>2849.9470000000001</v>
      </c>
      <c r="D25" s="123" t="s">
        <v>157</v>
      </c>
      <c r="E25" s="124">
        <v>900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pans="1:256">
      <c r="D26" s="127"/>
      <c r="E26" s="127"/>
      <c r="F26" s="141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pans="1:256">
      <c r="A27" s="142" t="s">
        <v>85</v>
      </c>
      <c r="B27" s="124">
        <v>25</v>
      </c>
      <c r="D27" s="134" t="s">
        <v>70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pans="1:256">
      <c r="A28" s="123" t="s">
        <v>76</v>
      </c>
      <c r="D28" s="123" t="s">
        <v>153</v>
      </c>
      <c r="E28" s="143">
        <v>7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pans="1:256">
      <c r="D29" s="123" t="s">
        <v>152</v>
      </c>
      <c r="E29" s="143">
        <v>2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256">
      <c r="A30" s="142" t="s">
        <v>159</v>
      </c>
      <c r="B30" s="124">
        <v>27</v>
      </c>
      <c r="D30" s="123" t="s">
        <v>160</v>
      </c>
      <c r="E30" s="144">
        <v>30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  <row r="31" spans="1:256">
      <c r="A31" s="123" t="s">
        <v>77</v>
      </c>
      <c r="D31" s="123" t="s">
        <v>105</v>
      </c>
      <c r="E31" s="144">
        <v>30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pans="1:256">
      <c r="D32" s="123" t="s">
        <v>83</v>
      </c>
      <c r="E32" s="124">
        <v>25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pans="1:256" ht="31" customHeight="1">
      <c r="A33" s="173" t="s">
        <v>72</v>
      </c>
      <c r="B33" s="174"/>
      <c r="D33" s="123" t="s">
        <v>104</v>
      </c>
      <c r="E33" s="144">
        <v>9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pans="1:256" ht="31" customHeight="1">
      <c r="A34" s="175" t="s">
        <v>73</v>
      </c>
      <c r="B34" s="176"/>
      <c r="D34" s="123" t="s">
        <v>161</v>
      </c>
      <c r="E34" s="124">
        <v>15</v>
      </c>
      <c r="F34" s="147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pans="1:256">
      <c r="A35" s="145" t="s">
        <v>167</v>
      </c>
      <c r="D35" s="127"/>
      <c r="E35" s="146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</row>
    <row r="36" spans="1:256">
      <c r="A36" s="145" t="s">
        <v>165</v>
      </c>
      <c r="D36" s="127"/>
      <c r="E36" s="146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</row>
    <row r="37" spans="1:256">
      <c r="A37" s="145" t="s">
        <v>166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</row>
    <row r="38" spans="1:256"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</row>
    <row r="39" spans="1:256">
      <c r="A39" s="145" t="s">
        <v>47</v>
      </c>
    </row>
    <row r="40" spans="1:256">
      <c r="A40" s="145" t="s">
        <v>65</v>
      </c>
    </row>
    <row r="41" spans="1:256">
      <c r="A41" s="145" t="s">
        <v>46</v>
      </c>
    </row>
    <row r="42" spans="1:256">
      <c r="A42" s="145" t="s">
        <v>64</v>
      </c>
    </row>
    <row r="44" spans="1:256">
      <c r="A44" s="134"/>
    </row>
  </sheetData>
  <mergeCells count="2">
    <mergeCell ref="A33:B33"/>
    <mergeCell ref="A34:B34"/>
  </mergeCells>
  <phoneticPr fontId="17" type="noConversion"/>
  <pageMargins left="0.19685039370078741" right="0.19685039370078741" top="0.19685039370078741" bottom="0.19685039370078741" header="0" footer="0"/>
  <pageSetup paperSize="9" scale="108" orientation="portrait" horizontalDpi="4294967294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86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56" sqref="B56"/>
    </sheetView>
  </sheetViews>
  <sheetFormatPr defaultColWidth="11.53515625" defaultRowHeight="14"/>
  <cols>
    <col min="1" max="1" width="3.4609375" style="96" bestFit="1" customWidth="1"/>
    <col min="2" max="2" width="41.53515625" style="101" customWidth="1"/>
    <col min="3" max="3" width="15.23046875" style="100" hidden="1" customWidth="1"/>
    <col min="4" max="4" width="3.84375" style="100" customWidth="1"/>
    <col min="5" max="5" width="13.4609375" style="122" bestFit="1" customWidth="1"/>
    <col min="6" max="6" width="8.765625" style="100" customWidth="1"/>
    <col min="7" max="7" width="6.53515625" style="105" customWidth="1"/>
    <col min="8" max="8" width="7.23046875" style="105" customWidth="1"/>
    <col min="9" max="9" width="20.4609375" style="100" customWidth="1"/>
    <col min="10" max="10" width="2.53515625" style="149" bestFit="1" customWidth="1"/>
    <col min="11" max="11" width="2.53515625" style="154" bestFit="1" customWidth="1"/>
    <col min="12" max="16384" width="11.53515625" style="100"/>
  </cols>
  <sheetData>
    <row r="1" spans="1:12" s="42" customFormat="1" ht="15" customHeight="1" thickTop="1" thickBot="1">
      <c r="A1" s="24"/>
      <c r="B1" s="31" t="s">
        <v>1</v>
      </c>
      <c r="C1" s="2"/>
      <c r="D1" s="186" t="s">
        <v>2</v>
      </c>
      <c r="E1" s="177" t="s">
        <v>3</v>
      </c>
      <c r="F1" s="189" t="s">
        <v>42</v>
      </c>
      <c r="G1" s="192" t="s">
        <v>4</v>
      </c>
      <c r="H1" s="183" t="s">
        <v>5</v>
      </c>
      <c r="I1" s="41"/>
      <c r="J1" s="149"/>
      <c r="K1" s="149"/>
      <c r="L1" s="148"/>
    </row>
    <row r="2" spans="1:12" s="42" customFormat="1" ht="16" customHeight="1" thickTop="1" thickBot="1">
      <c r="A2" s="24"/>
      <c r="B2" s="32" t="s">
        <v>25</v>
      </c>
      <c r="C2" s="7"/>
      <c r="D2" s="187"/>
      <c r="E2" s="178"/>
      <c r="F2" s="190"/>
      <c r="G2" s="193"/>
      <c r="H2" s="184"/>
      <c r="I2" s="41"/>
      <c r="J2" s="149"/>
      <c r="K2" s="149"/>
    </row>
    <row r="3" spans="1:12" s="42" customFormat="1" ht="16" customHeight="1" thickTop="1" thickBot="1">
      <c r="A3" s="24"/>
      <c r="B3" s="32" t="s">
        <v>26</v>
      </c>
      <c r="C3" s="7"/>
      <c r="D3" s="187"/>
      <c r="E3" s="178"/>
      <c r="F3" s="190"/>
      <c r="G3" s="193"/>
      <c r="H3" s="184"/>
      <c r="I3" s="41"/>
      <c r="J3" s="149"/>
      <c r="K3" s="149"/>
    </row>
    <row r="4" spans="1:12" s="42" customFormat="1" ht="16" customHeight="1" thickTop="1" thickBot="1">
      <c r="A4" s="24"/>
      <c r="B4" s="32" t="s">
        <v>27</v>
      </c>
      <c r="C4" s="7"/>
      <c r="D4" s="187"/>
      <c r="E4" s="178"/>
      <c r="F4" s="190"/>
      <c r="G4" s="193"/>
      <c r="H4" s="184"/>
      <c r="I4" s="41"/>
      <c r="J4" s="149"/>
      <c r="K4" s="149"/>
    </row>
    <row r="5" spans="1:12" s="42" customFormat="1" ht="16" customHeight="1" thickTop="1" thickBot="1">
      <c r="A5" s="24"/>
      <c r="B5" s="32" t="s">
        <v>39</v>
      </c>
      <c r="C5" s="7"/>
      <c r="D5" s="187"/>
      <c r="E5" s="112"/>
      <c r="F5" s="190"/>
      <c r="G5" s="193"/>
      <c r="H5" s="184"/>
      <c r="I5" s="43"/>
      <c r="J5" s="150"/>
      <c r="K5" s="149"/>
    </row>
    <row r="6" spans="1:12" s="42" customFormat="1" ht="16" customHeight="1" thickTop="1" thickBot="1">
      <c r="A6" s="24"/>
      <c r="B6" s="32" t="s">
        <v>28</v>
      </c>
      <c r="C6" s="7"/>
      <c r="D6" s="187"/>
      <c r="E6" s="112"/>
      <c r="F6" s="190"/>
      <c r="G6" s="193"/>
      <c r="H6" s="184"/>
      <c r="I6" s="43"/>
      <c r="J6" s="150"/>
      <c r="K6" s="149"/>
    </row>
    <row r="7" spans="1:12" s="42" customFormat="1" ht="16" customHeight="1" thickTop="1" thickBot="1">
      <c r="A7" s="24"/>
      <c r="B7" s="32" t="s">
        <v>29</v>
      </c>
      <c r="C7" s="7"/>
      <c r="D7" s="187"/>
      <c r="E7" s="113"/>
      <c r="F7" s="190"/>
      <c r="G7" s="193"/>
      <c r="H7" s="184"/>
      <c r="I7" s="43"/>
      <c r="J7" s="150"/>
      <c r="K7" s="149"/>
    </row>
    <row r="8" spans="1:12" s="42" customFormat="1" ht="16" customHeight="1" thickTop="1" thickBot="1">
      <c r="A8" s="24"/>
      <c r="B8" s="33" t="s">
        <v>53</v>
      </c>
      <c r="C8" s="7"/>
      <c r="D8" s="188"/>
      <c r="E8" s="44"/>
      <c r="F8" s="191"/>
      <c r="G8" s="194"/>
      <c r="H8" s="185"/>
      <c r="I8" s="43"/>
      <c r="J8" s="151"/>
      <c r="K8" s="149"/>
    </row>
    <row r="9" spans="1:12" s="42" customFormat="1" ht="14.5" thickTop="1">
      <c r="A9" s="46" t="str">
        <f>IF(OR(LEFT(B9,1)=" ",B9=""),"",MAX($A$8:A8)+1)</f>
        <v/>
      </c>
      <c r="B9" s="47" t="s">
        <v>81</v>
      </c>
      <c r="C9" s="7"/>
      <c r="D9" s="28"/>
      <c r="E9" s="118"/>
      <c r="F9" s="29"/>
      <c r="G9" s="29"/>
      <c r="H9" s="40"/>
      <c r="I9" s="41"/>
      <c r="J9" s="149">
        <v>4</v>
      </c>
      <c r="K9" s="149">
        <f>MAX(K12:K56)</f>
        <v>56</v>
      </c>
    </row>
    <row r="10" spans="1:12" s="42" customFormat="1">
      <c r="A10" s="46">
        <f>IF(OR(LEFT(B10,1)=" ",B10=""),"",MAX($A$8:A9)+1)</f>
        <v>1</v>
      </c>
      <c r="B10" s="48" t="s">
        <v>112</v>
      </c>
      <c r="C10" s="49"/>
      <c r="D10" s="50">
        <v>0</v>
      </c>
      <c r="E10" s="58" t="s">
        <v>50</v>
      </c>
      <c r="F10" s="51"/>
      <c r="G10" s="52">
        <v>0</v>
      </c>
      <c r="H10" s="53">
        <f>SUM($G$1:G10)</f>
        <v>0</v>
      </c>
      <c r="I10" s="41"/>
      <c r="J10" s="149">
        <f>IF(F10="",1,0)+J9</f>
        <v>5</v>
      </c>
      <c r="K10" s="149">
        <f>IF(A10="","",ROW(A10))</f>
        <v>10</v>
      </c>
    </row>
    <row r="11" spans="1:12" s="42" customFormat="1" ht="28">
      <c r="A11" s="46">
        <f>IF(OR(LEFT(B11,1)=" ",B11=""),"",MAX($A$8:A10)+1)</f>
        <v>2</v>
      </c>
      <c r="B11" s="54" t="s">
        <v>74</v>
      </c>
      <c r="C11" s="49"/>
      <c r="D11" s="50">
        <v>0</v>
      </c>
      <c r="E11" s="58" t="s">
        <v>50</v>
      </c>
      <c r="F11" s="51" t="s">
        <v>37</v>
      </c>
      <c r="G11" s="52">
        <v>0</v>
      </c>
      <c r="H11" s="53">
        <f>SUM($G$1:G11)</f>
        <v>0</v>
      </c>
      <c r="I11" s="41"/>
      <c r="J11" s="149">
        <f t="shared" ref="J11:J75" si="0">IF(F11="",1,0)+J10</f>
        <v>5</v>
      </c>
      <c r="K11" s="149">
        <f t="shared" ref="K11:K75" si="1">IF(A11="","",ROW(A11))</f>
        <v>11</v>
      </c>
    </row>
    <row r="12" spans="1:12" s="42" customFormat="1">
      <c r="A12" s="46">
        <f>IF(OR(LEFT(B12,1)=" ",B12=""),"",MAX($A$8:A11)+1)</f>
        <v>3</v>
      </c>
      <c r="B12" s="54" t="s">
        <v>149</v>
      </c>
      <c r="C12" s="49"/>
      <c r="D12" s="50">
        <v>0</v>
      </c>
      <c r="E12" s="58" t="s">
        <v>50</v>
      </c>
      <c r="F12" s="51" t="s">
        <v>37</v>
      </c>
      <c r="G12" s="52">
        <v>0</v>
      </c>
      <c r="H12" s="53">
        <f>SUM($G$1:G12)</f>
        <v>0</v>
      </c>
      <c r="I12" s="41"/>
      <c r="J12" s="149">
        <f t="shared" si="0"/>
        <v>5</v>
      </c>
      <c r="K12" s="149">
        <f t="shared" si="1"/>
        <v>12</v>
      </c>
    </row>
    <row r="13" spans="1:12" s="42" customFormat="1" ht="28">
      <c r="A13" s="46">
        <f>IF(OR(LEFT(B13,1)=" ",B13=""),"",MAX($A$8:A12)+1)</f>
        <v>4</v>
      </c>
      <c r="B13" s="54" t="s">
        <v>92</v>
      </c>
      <c r="C13" s="49"/>
      <c r="D13" s="50">
        <v>0</v>
      </c>
      <c r="E13" s="58" t="s">
        <v>82</v>
      </c>
      <c r="F13" s="51" t="s">
        <v>37</v>
      </c>
      <c r="G13" s="55">
        <v>0</v>
      </c>
      <c r="H13" s="53">
        <f>SUM($G$1:G13)</f>
        <v>0</v>
      </c>
      <c r="I13" s="41"/>
      <c r="J13" s="149">
        <f t="shared" si="0"/>
        <v>5</v>
      </c>
      <c r="K13" s="149">
        <f t="shared" si="1"/>
        <v>13</v>
      </c>
    </row>
    <row r="14" spans="1:12" s="42" customFormat="1" ht="28">
      <c r="A14" s="46">
        <f>IF(OR(LEFT(B14,1)=" ",B14=""),"",MAX($A$8:A13)+1)</f>
        <v>5</v>
      </c>
      <c r="B14" s="155" t="s">
        <v>169</v>
      </c>
      <c r="C14" s="49"/>
      <c r="D14" s="50">
        <v>0</v>
      </c>
      <c r="E14" s="58" t="s">
        <v>50</v>
      </c>
      <c r="F14" s="56" t="s">
        <v>170</v>
      </c>
      <c r="G14" s="52">
        <v>0</v>
      </c>
      <c r="H14" s="53">
        <f>SUM($G$1:G14)</f>
        <v>0</v>
      </c>
      <c r="I14" s="41"/>
      <c r="J14" s="149">
        <f t="shared" si="0"/>
        <v>5</v>
      </c>
      <c r="K14" s="149">
        <f t="shared" si="1"/>
        <v>14</v>
      </c>
    </row>
    <row r="15" spans="1:12" s="163" customFormat="1">
      <c r="A15" s="156">
        <f>IF(OR(LEFT(B15,1)=" ",B15=""),"",MAX($A$8:A14)+1)</f>
        <v>6</v>
      </c>
      <c r="B15" s="155" t="s">
        <v>171</v>
      </c>
      <c r="C15" s="157"/>
      <c r="D15" s="158">
        <v>0</v>
      </c>
      <c r="E15" s="58" t="s">
        <v>50</v>
      </c>
      <c r="F15" s="159" t="s">
        <v>40</v>
      </c>
      <c r="G15" s="160">
        <v>0</v>
      </c>
      <c r="H15" s="161">
        <v>0</v>
      </c>
      <c r="I15" s="162"/>
      <c r="J15" s="149">
        <f t="shared" si="0"/>
        <v>5</v>
      </c>
      <c r="K15" s="149">
        <f t="shared" si="1"/>
        <v>15</v>
      </c>
    </row>
    <row r="16" spans="1:12" s="42" customFormat="1" ht="28">
      <c r="A16" s="46">
        <f>IF(OR(LEFT(B16,1)=" ",B16=""),"",MAX($A$8:A15)+1)</f>
        <v>7</v>
      </c>
      <c r="B16" s="48" t="s">
        <v>121</v>
      </c>
      <c r="C16" s="49"/>
      <c r="D16" s="50">
        <v>0</v>
      </c>
      <c r="E16" s="58" t="s">
        <v>50</v>
      </c>
      <c r="F16" s="107"/>
      <c r="G16" s="52">
        <v>0</v>
      </c>
      <c r="H16" s="53">
        <v>0</v>
      </c>
      <c r="I16" s="41"/>
      <c r="J16" s="149">
        <f t="shared" si="0"/>
        <v>6</v>
      </c>
      <c r="K16" s="149">
        <f t="shared" si="1"/>
        <v>16</v>
      </c>
    </row>
    <row r="17" spans="1:11" s="42" customFormat="1">
      <c r="A17" s="46">
        <f>IF(OR(LEFT(B17,1)=" ",B17=""),"",MAX($A$8:A16)+1)</f>
        <v>8</v>
      </c>
      <c r="B17" s="54" t="s">
        <v>173</v>
      </c>
      <c r="C17" s="49" t="s">
        <v>6</v>
      </c>
      <c r="D17" s="50">
        <v>0</v>
      </c>
      <c r="E17" s="58" t="s">
        <v>50</v>
      </c>
      <c r="F17" s="57"/>
      <c r="G17" s="52">
        <v>0</v>
      </c>
      <c r="H17" s="53">
        <f>SUM($G$1:G17)</f>
        <v>0</v>
      </c>
      <c r="I17" s="41"/>
      <c r="J17" s="149">
        <f t="shared" si="0"/>
        <v>7</v>
      </c>
      <c r="K17" s="149">
        <f t="shared" si="1"/>
        <v>17</v>
      </c>
    </row>
    <row r="18" spans="1:11" s="42" customFormat="1" ht="28">
      <c r="A18" s="46">
        <f>IF(OR(LEFT(B18,1)=" ",B18=""),"",MAX($A$8:A16)+1)</f>
        <v>8</v>
      </c>
      <c r="B18" s="54" t="s">
        <v>174</v>
      </c>
      <c r="C18" s="49"/>
      <c r="D18" s="50">
        <v>0</v>
      </c>
      <c r="E18" s="58" t="s">
        <v>50</v>
      </c>
      <c r="F18" s="56" t="s">
        <v>41</v>
      </c>
      <c r="G18" s="52">
        <v>0</v>
      </c>
      <c r="H18" s="53">
        <f>SUM($G$1:G18)</f>
        <v>0</v>
      </c>
      <c r="I18" s="41"/>
      <c r="J18" s="149">
        <f>IF(F18="",1,0)+J16</f>
        <v>6</v>
      </c>
      <c r="K18" s="149">
        <f t="shared" ref="K18" si="2">IF(A18="","",ROW(A18))</f>
        <v>18</v>
      </c>
    </row>
    <row r="19" spans="1:11" s="42" customFormat="1" ht="28">
      <c r="A19" s="46">
        <f>IF(OR(LEFT(B19,1)=" ",B19=""),"",MAX($A$8:A17)+1)</f>
        <v>9</v>
      </c>
      <c r="B19" s="164" t="s">
        <v>175</v>
      </c>
      <c r="C19" s="49"/>
      <c r="D19" s="50">
        <v>0</v>
      </c>
      <c r="E19" s="58" t="s">
        <v>50</v>
      </c>
      <c r="F19" s="56" t="s">
        <v>41</v>
      </c>
      <c r="G19" s="52">
        <v>0</v>
      </c>
      <c r="H19" s="53">
        <f>SUM($G$1:G19)</f>
        <v>0</v>
      </c>
      <c r="I19" s="41"/>
      <c r="J19" s="149">
        <f>IF(F19="",1,0)+J17</f>
        <v>7</v>
      </c>
      <c r="K19" s="149">
        <f t="shared" si="1"/>
        <v>19</v>
      </c>
    </row>
    <row r="20" spans="1:11" s="42" customFormat="1" ht="42">
      <c r="A20" s="46">
        <f>IF(OR(LEFT(B20,1)=" ",B20=""),"",MAX($A$8:A19)+1)</f>
        <v>10</v>
      </c>
      <c r="B20" s="54" t="s">
        <v>101</v>
      </c>
      <c r="C20" s="49"/>
      <c r="D20" s="50">
        <v>0</v>
      </c>
      <c r="E20" s="58" t="s">
        <v>50</v>
      </c>
      <c r="F20" s="56" t="s">
        <v>40</v>
      </c>
      <c r="G20" s="52">
        <v>100</v>
      </c>
      <c r="H20" s="53">
        <f>SUM($G$1:G20)</f>
        <v>100</v>
      </c>
      <c r="I20" s="41"/>
      <c r="J20" s="149">
        <f t="shared" si="0"/>
        <v>7</v>
      </c>
      <c r="K20" s="149">
        <f t="shared" si="1"/>
        <v>20</v>
      </c>
    </row>
    <row r="21" spans="1:11" s="42" customFormat="1">
      <c r="A21" s="46">
        <f>IF(OR(LEFT(B21,1)=" ",B21=""),"",MAX($A$8:A20)+1)</f>
        <v>11</v>
      </c>
      <c r="B21" s="54" t="s">
        <v>52</v>
      </c>
      <c r="C21" s="49" t="s">
        <v>7</v>
      </c>
      <c r="D21" s="50">
        <v>0</v>
      </c>
      <c r="E21" s="58" t="s">
        <v>50</v>
      </c>
      <c r="F21" s="51" t="s">
        <v>40</v>
      </c>
      <c r="G21" s="52">
        <v>70</v>
      </c>
      <c r="H21" s="53">
        <f>SUM($G$1:G21)</f>
        <v>170</v>
      </c>
      <c r="I21" s="41"/>
      <c r="J21" s="149">
        <f t="shared" ref="J21:J28" si="3">IF(F21="",1,0)+J20</f>
        <v>7</v>
      </c>
      <c r="K21" s="149">
        <f t="shared" ref="K21" si="4">IF(A21="","",ROW(A21))</f>
        <v>21</v>
      </c>
    </row>
    <row r="22" spans="1:11" s="42" customFormat="1">
      <c r="A22" s="46">
        <f>IF(OR(LEFT(B22,1)=" ",B22=""),"",MAX($A$8:A20)+1)</f>
        <v>11</v>
      </c>
      <c r="B22" s="54" t="s">
        <v>119</v>
      </c>
      <c r="C22" s="49"/>
      <c r="D22" s="50">
        <v>0</v>
      </c>
      <c r="E22" s="58" t="s">
        <v>60</v>
      </c>
      <c r="F22" s="51" t="s">
        <v>40</v>
      </c>
      <c r="G22" s="52">
        <v>0</v>
      </c>
      <c r="H22" s="53">
        <f>SUM($G$1:G22)</f>
        <v>170</v>
      </c>
      <c r="I22" s="41"/>
      <c r="J22" s="149">
        <f t="shared" si="3"/>
        <v>7</v>
      </c>
      <c r="K22" s="149">
        <f t="shared" si="1"/>
        <v>22</v>
      </c>
    </row>
    <row r="23" spans="1:11" s="42" customFormat="1">
      <c r="A23" s="46">
        <f>IF(OR(LEFT(B23,1)=" ",B23=""),"",MAX($A$8:A22)+1)</f>
        <v>12</v>
      </c>
      <c r="B23" s="54" t="s">
        <v>135</v>
      </c>
      <c r="C23" s="49" t="s">
        <v>6</v>
      </c>
      <c r="D23" s="50">
        <v>0</v>
      </c>
      <c r="E23" s="58" t="s">
        <v>50</v>
      </c>
      <c r="F23" s="51" t="s">
        <v>40</v>
      </c>
      <c r="G23" s="52">
        <v>0</v>
      </c>
      <c r="H23" s="53">
        <f>SUM($G$1:G23)</f>
        <v>170</v>
      </c>
      <c r="I23" s="41"/>
      <c r="J23" s="149">
        <f t="shared" si="3"/>
        <v>7</v>
      </c>
      <c r="K23" s="149">
        <f t="shared" si="1"/>
        <v>23</v>
      </c>
    </row>
    <row r="24" spans="1:11" s="42" customFormat="1">
      <c r="A24" s="46">
        <f>IF(OR(LEFT(B24,1)=" ",B24=""),"",MAX($A$8:A23)+1)</f>
        <v>13</v>
      </c>
      <c r="B24" s="117" t="s">
        <v>147</v>
      </c>
      <c r="C24" s="49"/>
      <c r="D24" s="50">
        <v>0</v>
      </c>
      <c r="E24" s="58" t="s">
        <v>50</v>
      </c>
      <c r="F24" s="51" t="s">
        <v>136</v>
      </c>
      <c r="G24" s="52">
        <v>0</v>
      </c>
      <c r="H24" s="53">
        <f>SUM($G$1:G24)</f>
        <v>170</v>
      </c>
      <c r="I24" s="41"/>
      <c r="J24" s="149">
        <f t="shared" si="3"/>
        <v>7</v>
      </c>
      <c r="K24" s="149">
        <f t="shared" si="1"/>
        <v>24</v>
      </c>
    </row>
    <row r="25" spans="1:11" s="42" customFormat="1">
      <c r="A25" s="46">
        <f>IF(OR(LEFT(B25,1)=" ",B25=""),"",MAX($A$8:A24)+1)</f>
        <v>14</v>
      </c>
      <c r="B25" s="54" t="s">
        <v>120</v>
      </c>
      <c r="C25" s="49"/>
      <c r="D25" s="50">
        <v>0</v>
      </c>
      <c r="E25" s="58" t="s">
        <v>50</v>
      </c>
      <c r="F25" s="51" t="s">
        <v>40</v>
      </c>
      <c r="G25" s="52">
        <v>20</v>
      </c>
      <c r="H25" s="53">
        <f>SUM($G$1:G25)</f>
        <v>190</v>
      </c>
      <c r="I25" s="41"/>
      <c r="J25" s="149">
        <f t="shared" si="3"/>
        <v>7</v>
      </c>
      <c r="K25" s="149">
        <f t="shared" si="1"/>
        <v>25</v>
      </c>
    </row>
    <row r="26" spans="1:11" s="42" customFormat="1">
      <c r="A26" s="46">
        <f>IF(OR(LEFT(B26,1)=" ",B26=""),"",MAX($A$8:A25)+1)</f>
        <v>15</v>
      </c>
      <c r="B26" s="54" t="s">
        <v>118</v>
      </c>
      <c r="C26" s="49" t="s">
        <v>10</v>
      </c>
      <c r="D26" s="50">
        <v>0</v>
      </c>
      <c r="E26" s="58" t="s">
        <v>50</v>
      </c>
      <c r="F26" s="51" t="s">
        <v>9</v>
      </c>
      <c r="G26" s="52">
        <v>40</v>
      </c>
      <c r="H26" s="53">
        <f>SUM($G$1:G26)</f>
        <v>230</v>
      </c>
      <c r="I26" s="41"/>
      <c r="J26" s="149">
        <f t="shared" si="3"/>
        <v>7</v>
      </c>
      <c r="K26" s="149">
        <f t="shared" si="1"/>
        <v>26</v>
      </c>
    </row>
    <row r="27" spans="1:11" s="42" customFormat="1">
      <c r="A27" s="46">
        <f>IF(OR(LEFT(B27,1)=" ",B27=""),"",MAX($A$8:A26)+1)</f>
        <v>16</v>
      </c>
      <c r="B27" s="54" t="s">
        <v>67</v>
      </c>
      <c r="C27" s="49" t="s">
        <v>8</v>
      </c>
      <c r="D27" s="50">
        <v>0</v>
      </c>
      <c r="E27" s="58" t="s">
        <v>50</v>
      </c>
      <c r="F27" s="51" t="s">
        <v>9</v>
      </c>
      <c r="G27" s="52">
        <v>15</v>
      </c>
      <c r="H27" s="53">
        <f>SUM($G$1:G27)</f>
        <v>245</v>
      </c>
      <c r="I27" s="41"/>
      <c r="J27" s="149">
        <f t="shared" si="3"/>
        <v>7</v>
      </c>
      <c r="K27" s="149">
        <f t="shared" si="1"/>
        <v>27</v>
      </c>
    </row>
    <row r="28" spans="1:11" s="42" customFormat="1">
      <c r="A28" s="46">
        <f>IF(OR(LEFT(B28,1)=" ",B28=""),"",MAX($A$8:A27)+1)</f>
        <v>17</v>
      </c>
      <c r="B28" s="54" t="s">
        <v>137</v>
      </c>
      <c r="C28" s="49" t="s">
        <v>6</v>
      </c>
      <c r="D28" s="50">
        <v>0</v>
      </c>
      <c r="E28" s="58" t="s">
        <v>50</v>
      </c>
      <c r="F28" s="51" t="s">
        <v>148</v>
      </c>
      <c r="G28" s="52">
        <v>20</v>
      </c>
      <c r="H28" s="53">
        <f>SUM($G$1:G28)</f>
        <v>265</v>
      </c>
      <c r="I28" s="41"/>
      <c r="J28" s="149">
        <f t="shared" si="3"/>
        <v>7</v>
      </c>
      <c r="K28" s="149">
        <f t="shared" si="1"/>
        <v>28</v>
      </c>
    </row>
    <row r="29" spans="1:11" s="42" customFormat="1">
      <c r="A29" s="46">
        <f>IF(OR(LEFT(B29,1)=" ",B29=""),"",MAX($A$8:A28)+1)</f>
        <v>18</v>
      </c>
      <c r="B29" s="54" t="s">
        <v>51</v>
      </c>
      <c r="C29" s="49"/>
      <c r="D29" s="50">
        <v>0</v>
      </c>
      <c r="E29" s="58" t="s">
        <v>50</v>
      </c>
      <c r="F29" s="51" t="s">
        <v>148</v>
      </c>
      <c r="G29" s="52">
        <v>0</v>
      </c>
      <c r="H29" s="53">
        <f>SUM($G$1:G29)</f>
        <v>265</v>
      </c>
      <c r="I29" s="41"/>
      <c r="J29" s="149">
        <f t="shared" si="0"/>
        <v>7</v>
      </c>
      <c r="K29" s="149">
        <f t="shared" si="1"/>
        <v>29</v>
      </c>
    </row>
    <row r="30" spans="1:11" s="42" customFormat="1">
      <c r="A30" s="46">
        <f>IF(OR(LEFT(B30,1)=" ",B30=""),"",MAX($A$8:A29)+1)</f>
        <v>19</v>
      </c>
      <c r="B30" s="54" t="s">
        <v>138</v>
      </c>
      <c r="C30" s="49"/>
      <c r="D30" s="50">
        <v>0</v>
      </c>
      <c r="E30" s="58" t="s">
        <v>50</v>
      </c>
      <c r="F30" s="107"/>
      <c r="G30" s="52">
        <v>0</v>
      </c>
      <c r="H30" s="53">
        <f>SUM($G$1:G30)</f>
        <v>265</v>
      </c>
      <c r="I30" s="41"/>
      <c r="J30" s="149">
        <f t="shared" si="0"/>
        <v>8</v>
      </c>
      <c r="K30" s="149">
        <f t="shared" si="1"/>
        <v>30</v>
      </c>
    </row>
    <row r="31" spans="1:11" s="42" customFormat="1">
      <c r="A31" s="46">
        <f>IF(OR(LEFT(B31,1)=" ",B31=""),"",MAX($A$8:A30)+1)</f>
        <v>20</v>
      </c>
      <c r="B31" s="54" t="s">
        <v>122</v>
      </c>
      <c r="C31" s="49"/>
      <c r="D31" s="50">
        <v>0</v>
      </c>
      <c r="E31" s="58" t="s">
        <v>50</v>
      </c>
      <c r="F31" s="51" t="s">
        <v>143</v>
      </c>
      <c r="G31" s="52">
        <v>0</v>
      </c>
      <c r="H31" s="53">
        <f>SUM($G$1:G31)</f>
        <v>265</v>
      </c>
      <c r="I31" s="41"/>
      <c r="J31" s="149">
        <f t="shared" si="0"/>
        <v>8</v>
      </c>
      <c r="K31" s="149">
        <f t="shared" si="1"/>
        <v>31</v>
      </c>
    </row>
    <row r="32" spans="1:11" s="42" customFormat="1">
      <c r="A32" s="46">
        <f>IF(OR(LEFT(B32,1)=" ",B32=""),"",MAX($A$8:A31)+1)</f>
        <v>21</v>
      </c>
      <c r="B32" s="54" t="s">
        <v>111</v>
      </c>
      <c r="C32" s="49"/>
      <c r="D32" s="50">
        <v>0</v>
      </c>
      <c r="E32" s="58" t="s">
        <v>50</v>
      </c>
      <c r="F32" s="51" t="s">
        <v>11</v>
      </c>
      <c r="G32" s="52">
        <v>0</v>
      </c>
      <c r="H32" s="53">
        <f>SUM($G$1:G32)</f>
        <v>265</v>
      </c>
      <c r="I32" s="41"/>
      <c r="J32" s="149">
        <f t="shared" si="0"/>
        <v>8</v>
      </c>
      <c r="K32" s="149">
        <f t="shared" si="1"/>
        <v>32</v>
      </c>
    </row>
    <row r="33" spans="1:11" s="42" customFormat="1">
      <c r="A33" s="46">
        <f>IF(OR(LEFT(B33,1)=" ",B33=""),"",MAX($A$8:A32)+1)</f>
        <v>22</v>
      </c>
      <c r="B33" s="54" t="s">
        <v>78</v>
      </c>
      <c r="C33" s="49"/>
      <c r="D33" s="50">
        <v>0</v>
      </c>
      <c r="E33" s="58" t="s">
        <v>50</v>
      </c>
      <c r="F33" s="51" t="s">
        <v>143</v>
      </c>
      <c r="G33" s="52">
        <v>0</v>
      </c>
      <c r="H33" s="53">
        <f>SUM($G$1:G33)</f>
        <v>265</v>
      </c>
      <c r="I33" s="41"/>
      <c r="J33" s="149">
        <f t="shared" si="0"/>
        <v>8</v>
      </c>
      <c r="K33" s="149">
        <f t="shared" si="1"/>
        <v>33</v>
      </c>
    </row>
    <row r="34" spans="1:11" s="42" customFormat="1">
      <c r="A34" s="46">
        <f>IF(OR(LEFT(B34,1)=" ",B34=""),"",MAX($A$8:A33)+1)</f>
        <v>23</v>
      </c>
      <c r="B34" s="54" t="s">
        <v>139</v>
      </c>
      <c r="C34" s="49"/>
      <c r="D34" s="50">
        <v>0</v>
      </c>
      <c r="E34" s="58" t="s">
        <v>50</v>
      </c>
      <c r="F34" s="51"/>
      <c r="G34" s="52">
        <v>0</v>
      </c>
      <c r="H34" s="53">
        <f>SUM($G$1:G34)</f>
        <v>265</v>
      </c>
      <c r="I34" s="41"/>
      <c r="J34" s="149">
        <f t="shared" si="0"/>
        <v>9</v>
      </c>
      <c r="K34" s="149">
        <f t="shared" si="1"/>
        <v>34</v>
      </c>
    </row>
    <row r="35" spans="1:11" s="42" customFormat="1" ht="28">
      <c r="A35" s="46">
        <f>IF(OR(LEFT(B35,1)=" ",B35=""),"",MAX($A$8:A34)+1)</f>
        <v>24</v>
      </c>
      <c r="B35" s="54" t="s">
        <v>102</v>
      </c>
      <c r="C35" s="49"/>
      <c r="D35" s="50">
        <v>0</v>
      </c>
      <c r="E35" s="58" t="s">
        <v>50</v>
      </c>
      <c r="F35" s="51" t="s">
        <v>143</v>
      </c>
      <c r="G35" s="52">
        <v>26</v>
      </c>
      <c r="H35" s="53">
        <f>SUM($G$1:G35)</f>
        <v>291</v>
      </c>
      <c r="I35" s="41"/>
      <c r="J35" s="149">
        <f t="shared" si="0"/>
        <v>9</v>
      </c>
      <c r="K35" s="149">
        <f t="shared" si="1"/>
        <v>35</v>
      </c>
    </row>
    <row r="36" spans="1:11" s="42" customFormat="1">
      <c r="A36" s="46">
        <f>IF(OR(LEFT(B36,1)=" ",B36=""),"",MAX($A$8:A35)+1)</f>
        <v>25</v>
      </c>
      <c r="B36" s="54" t="s">
        <v>140</v>
      </c>
      <c r="C36" s="49" t="s">
        <v>10</v>
      </c>
      <c r="D36" s="50">
        <v>0</v>
      </c>
      <c r="E36" s="58" t="s">
        <v>50</v>
      </c>
      <c r="F36" s="51" t="s">
        <v>163</v>
      </c>
      <c r="G36" s="52">
        <v>0</v>
      </c>
      <c r="H36" s="53">
        <f>SUM($G$1:G36)</f>
        <v>291</v>
      </c>
      <c r="I36" s="41"/>
      <c r="J36" s="149">
        <f t="shared" si="0"/>
        <v>9</v>
      </c>
      <c r="K36" s="149">
        <f t="shared" si="1"/>
        <v>36</v>
      </c>
    </row>
    <row r="37" spans="1:11" s="45" customFormat="1">
      <c r="A37" s="46">
        <f>IF(OR(LEFT(B37,1)=" ",B37=""),"",MAX($A$8:A36)+1)</f>
        <v>26</v>
      </c>
      <c r="B37" s="54" t="s">
        <v>71</v>
      </c>
      <c r="C37" s="49"/>
      <c r="D37" s="50">
        <v>0</v>
      </c>
      <c r="E37" s="63" t="s">
        <v>50</v>
      </c>
      <c r="F37" s="59" t="s">
        <v>59</v>
      </c>
      <c r="G37" s="52">
        <v>0</v>
      </c>
      <c r="H37" s="53">
        <f>SUM($G$1:G37)</f>
        <v>291</v>
      </c>
      <c r="I37" s="43"/>
      <c r="J37" s="149">
        <f t="shared" si="0"/>
        <v>9</v>
      </c>
      <c r="K37" s="149">
        <f t="shared" si="1"/>
        <v>37</v>
      </c>
    </row>
    <row r="38" spans="1:11" s="42" customFormat="1" ht="28">
      <c r="A38" s="60">
        <f>IF(OR(LEFT(B38,1)=" ",B38=""),"",MAX($A$8:A37)+1)</f>
        <v>27</v>
      </c>
      <c r="B38" s="106" t="s">
        <v>132</v>
      </c>
      <c r="C38" s="61"/>
      <c r="D38" s="62">
        <v>0</v>
      </c>
      <c r="E38" s="63" t="s">
        <v>50</v>
      </c>
      <c r="F38" s="64"/>
      <c r="G38" s="65">
        <v>0</v>
      </c>
      <c r="H38" s="66">
        <f>SUM($G$1:G38)</f>
        <v>291</v>
      </c>
      <c r="I38" s="41"/>
      <c r="J38" s="149">
        <f t="shared" si="0"/>
        <v>10</v>
      </c>
      <c r="K38" s="149">
        <f t="shared" si="1"/>
        <v>38</v>
      </c>
    </row>
    <row r="39" spans="1:11" s="42" customFormat="1">
      <c r="A39" s="46">
        <f>IF(OR(LEFT(B39,1)=" ",B39=""),"",MAX($A$8:A38)+1)</f>
        <v>28</v>
      </c>
      <c r="B39" s="48" t="s">
        <v>133</v>
      </c>
      <c r="C39" s="49"/>
      <c r="D39" s="50">
        <v>0</v>
      </c>
      <c r="E39" s="58" t="s">
        <v>50</v>
      </c>
      <c r="F39" s="114"/>
      <c r="G39" s="52">
        <v>0</v>
      </c>
      <c r="H39" s="53">
        <f>SUM($G$1:G39)</f>
        <v>291</v>
      </c>
      <c r="I39" s="41"/>
      <c r="J39" s="149">
        <f t="shared" si="0"/>
        <v>11</v>
      </c>
      <c r="K39" s="149">
        <f t="shared" si="1"/>
        <v>39</v>
      </c>
    </row>
    <row r="40" spans="1:11" s="42" customFormat="1">
      <c r="A40" s="46">
        <f>IF(OR(LEFT(B40,1)=" ",B40=""),"",MAX($A$8:A39)+1)</f>
        <v>29</v>
      </c>
      <c r="B40" s="67" t="s">
        <v>123</v>
      </c>
      <c r="C40" s="68"/>
      <c r="D40" s="69">
        <v>0</v>
      </c>
      <c r="E40" s="63" t="s">
        <v>50</v>
      </c>
      <c r="F40" s="56" t="s">
        <v>59</v>
      </c>
      <c r="G40" s="70">
        <v>0</v>
      </c>
      <c r="H40" s="53">
        <f>SUM($G$1:G40)</f>
        <v>291</v>
      </c>
      <c r="I40" s="41"/>
      <c r="J40" s="149">
        <f t="shared" si="0"/>
        <v>11</v>
      </c>
      <c r="K40" s="149">
        <f t="shared" si="1"/>
        <v>40</v>
      </c>
    </row>
    <row r="41" spans="1:11" s="42" customFormat="1">
      <c r="A41" s="46" t="str">
        <f>IF(OR(LEFT(B41,1)=" ",B41=""),"",MAX($A$8:A40)+1)</f>
        <v/>
      </c>
      <c r="B41" s="71" t="s">
        <v>115</v>
      </c>
      <c r="C41" s="68"/>
      <c r="D41" s="69"/>
      <c r="E41" s="63"/>
      <c r="F41" s="56"/>
      <c r="G41" s="72"/>
      <c r="H41" s="53"/>
      <c r="I41" s="41"/>
      <c r="J41" s="149">
        <f t="shared" si="0"/>
        <v>12</v>
      </c>
      <c r="K41" s="149" t="str">
        <f t="shared" si="1"/>
        <v/>
      </c>
    </row>
    <row r="42" spans="1:11" s="42" customFormat="1">
      <c r="A42" s="46">
        <f>IF(OR(LEFT(B42,1)=" ",B42=""),"",MAX($A$8:A41)+1)</f>
        <v>30</v>
      </c>
      <c r="B42" s="73" t="s">
        <v>90</v>
      </c>
      <c r="C42" s="68"/>
      <c r="D42" s="69">
        <v>1</v>
      </c>
      <c r="E42" s="63" t="s">
        <v>61</v>
      </c>
      <c r="F42" s="56" t="s">
        <v>11</v>
      </c>
      <c r="G42" s="72">
        <v>10</v>
      </c>
      <c r="H42" s="53">
        <f>SUM($G$1:G42)</f>
        <v>301</v>
      </c>
      <c r="I42" s="41"/>
      <c r="J42" s="149">
        <f t="shared" si="0"/>
        <v>12</v>
      </c>
      <c r="K42" s="149">
        <f t="shared" si="1"/>
        <v>42</v>
      </c>
    </row>
    <row r="43" spans="1:11" s="42" customFormat="1">
      <c r="A43" s="46">
        <f>IF(OR(LEFT(B43,1)=" ",B43=""),"",MAX($A$8:A42)+1)</f>
        <v>31</v>
      </c>
      <c r="B43" s="73" t="s">
        <v>109</v>
      </c>
      <c r="C43" s="68"/>
      <c r="D43" s="74">
        <v>1</v>
      </c>
      <c r="E43" s="75" t="s">
        <v>110</v>
      </c>
      <c r="F43" s="56" t="s">
        <v>11</v>
      </c>
      <c r="G43" s="72">
        <v>75</v>
      </c>
      <c r="H43" s="53">
        <f>SUM($G$1:G43)</f>
        <v>376</v>
      </c>
      <c r="I43" s="41"/>
      <c r="J43" s="149">
        <f t="shared" si="0"/>
        <v>12</v>
      </c>
      <c r="K43" s="149">
        <f t="shared" si="1"/>
        <v>43</v>
      </c>
    </row>
    <row r="44" spans="1:11" s="42" customFormat="1">
      <c r="A44" s="46">
        <f>IF(OR(LEFT(B44,1)=" ",B44=""),"",MAX($A$8:A43)+1)</f>
        <v>32</v>
      </c>
      <c r="B44" s="45" t="s">
        <v>141</v>
      </c>
      <c r="C44" s="68"/>
      <c r="D44" s="74">
        <v>1</v>
      </c>
      <c r="E44" s="63" t="s">
        <v>114</v>
      </c>
      <c r="F44" s="56" t="s">
        <v>113</v>
      </c>
      <c r="G44" s="72">
        <v>500</v>
      </c>
      <c r="H44" s="53">
        <f>SUM($G$1:G44)</f>
        <v>876</v>
      </c>
      <c r="I44" s="41"/>
      <c r="J44" s="149">
        <f t="shared" si="0"/>
        <v>12</v>
      </c>
      <c r="K44" s="149">
        <f t="shared" si="1"/>
        <v>44</v>
      </c>
    </row>
    <row r="45" spans="1:11" s="42" customFormat="1">
      <c r="A45" s="46">
        <f>IF(OR(LEFT(B45,1)=" ",B45=""),"",MAX($A$8:A44)+1)</f>
        <v>33</v>
      </c>
      <c r="B45" s="73" t="s">
        <v>134</v>
      </c>
      <c r="C45" s="68"/>
      <c r="D45" s="69">
        <v>1</v>
      </c>
      <c r="E45" s="63" t="s">
        <v>114</v>
      </c>
      <c r="F45" s="56" t="s">
        <v>146</v>
      </c>
      <c r="G45" s="72">
        <v>40</v>
      </c>
      <c r="H45" s="53">
        <f>SUM($G$1:G45)</f>
        <v>916</v>
      </c>
      <c r="I45" s="41"/>
      <c r="J45" s="149">
        <f t="shared" si="0"/>
        <v>12</v>
      </c>
      <c r="K45" s="149">
        <f t="shared" si="1"/>
        <v>45</v>
      </c>
    </row>
    <row r="46" spans="1:11" s="42" customFormat="1">
      <c r="A46" s="46">
        <f>IF(OR(LEFT(B46,1)=" ",B46=""),"",MAX($A$8:A45)+1)</f>
        <v>34</v>
      </c>
      <c r="B46" s="73" t="s">
        <v>97</v>
      </c>
      <c r="C46" s="68"/>
      <c r="D46" s="69">
        <v>1</v>
      </c>
      <c r="E46" s="63" t="s">
        <v>114</v>
      </c>
      <c r="F46" s="56" t="s">
        <v>113</v>
      </c>
      <c r="G46" s="72">
        <v>20</v>
      </c>
      <c r="H46" s="53">
        <f>SUM($G$1:G46)</f>
        <v>936</v>
      </c>
      <c r="I46" s="41"/>
      <c r="J46" s="149">
        <f t="shared" si="0"/>
        <v>12</v>
      </c>
      <c r="K46" s="149">
        <f t="shared" si="1"/>
        <v>46</v>
      </c>
    </row>
    <row r="47" spans="1:11" s="42" customFormat="1">
      <c r="A47" s="46">
        <f>IF(OR(LEFT(B47,1)=" ",B47=""),"",MAX($A$8:A46)+1)</f>
        <v>35</v>
      </c>
      <c r="B47" s="73" t="s">
        <v>116</v>
      </c>
      <c r="C47" s="68"/>
      <c r="D47" s="69">
        <v>1</v>
      </c>
      <c r="E47" s="63" t="s">
        <v>117</v>
      </c>
      <c r="F47" s="56" t="s">
        <v>40</v>
      </c>
      <c r="G47" s="72">
        <v>20</v>
      </c>
      <c r="H47" s="53">
        <f>SUM($G$1:G47)</f>
        <v>956</v>
      </c>
      <c r="I47" s="41"/>
      <c r="J47" s="149">
        <f t="shared" si="0"/>
        <v>12</v>
      </c>
      <c r="K47" s="149">
        <f t="shared" si="1"/>
        <v>47</v>
      </c>
    </row>
    <row r="48" spans="1:11" s="42" customFormat="1">
      <c r="A48" s="46">
        <f>IF(OR(LEFT(B48,1)=" ",B48=""),"",MAX($A$8:A47)+1)</f>
        <v>36</v>
      </c>
      <c r="B48" s="76" t="s">
        <v>107</v>
      </c>
      <c r="C48" s="68"/>
      <c r="D48" s="69">
        <v>2</v>
      </c>
      <c r="E48" s="63" t="s">
        <v>61</v>
      </c>
      <c r="F48" s="56" t="s">
        <v>103</v>
      </c>
      <c r="G48" s="72"/>
      <c r="H48" s="53">
        <f>SUM($G$1:G48)</f>
        <v>956</v>
      </c>
      <c r="I48" s="41"/>
      <c r="J48" s="149">
        <f t="shared" si="0"/>
        <v>12</v>
      </c>
      <c r="K48" s="149">
        <f t="shared" si="1"/>
        <v>48</v>
      </c>
    </row>
    <row r="49" spans="1:11" s="42" customFormat="1" ht="28">
      <c r="A49" s="46">
        <f>IF(OR(LEFT(B49,1)=" ",B49=""),"",MAX($A$8:A48)+1)</f>
        <v>37</v>
      </c>
      <c r="B49" s="73" t="s">
        <v>98</v>
      </c>
      <c r="C49" s="68"/>
      <c r="D49" s="69">
        <v>2</v>
      </c>
      <c r="E49" s="63" t="s">
        <v>49</v>
      </c>
      <c r="F49" s="56" t="s">
        <v>41</v>
      </c>
      <c r="G49" s="72">
        <v>0</v>
      </c>
      <c r="H49" s="53">
        <f>SUM($G$1:G49)</f>
        <v>956</v>
      </c>
      <c r="I49" s="41"/>
      <c r="J49" s="149">
        <f t="shared" si="0"/>
        <v>12</v>
      </c>
      <c r="K49" s="149">
        <f t="shared" si="1"/>
        <v>49</v>
      </c>
    </row>
    <row r="50" spans="1:11" s="42" customFormat="1">
      <c r="A50" s="46">
        <f>IF(OR(LEFT(B50,1)=" ",B50=""),"",MAX($A$8:A49)+1)</f>
        <v>38</v>
      </c>
      <c r="B50" s="73" t="s">
        <v>142</v>
      </c>
      <c r="C50" s="68"/>
      <c r="D50" s="69">
        <v>2</v>
      </c>
      <c r="E50" s="77" t="s">
        <v>49</v>
      </c>
      <c r="F50" s="56" t="s">
        <v>172</v>
      </c>
      <c r="G50" s="72">
        <v>250</v>
      </c>
      <c r="H50" s="53">
        <f>SUM($G$1:G50)</f>
        <v>1206</v>
      </c>
      <c r="I50" s="41"/>
      <c r="J50" s="149">
        <f t="shared" si="0"/>
        <v>12</v>
      </c>
      <c r="K50" s="149">
        <f t="shared" si="1"/>
        <v>50</v>
      </c>
    </row>
    <row r="51" spans="1:11" s="42" customFormat="1">
      <c r="A51" s="46">
        <f>IF(OR(LEFT(B51,1)=" ",B51=""),"",MAX($A$8:A50)+1)</f>
        <v>39</v>
      </c>
      <c r="B51" s="115" t="s">
        <v>96</v>
      </c>
      <c r="C51" s="68"/>
      <c r="D51" s="69">
        <v>3</v>
      </c>
      <c r="E51" s="63" t="s">
        <v>79</v>
      </c>
      <c r="F51" s="56" t="s">
        <v>37</v>
      </c>
      <c r="G51" s="72">
        <v>5</v>
      </c>
      <c r="H51" s="53">
        <f>SUM($G$1:G51)</f>
        <v>1211</v>
      </c>
      <c r="I51" s="41"/>
      <c r="J51" s="149">
        <f t="shared" si="0"/>
        <v>12</v>
      </c>
      <c r="K51" s="149">
        <f t="shared" si="1"/>
        <v>51</v>
      </c>
    </row>
    <row r="52" spans="1:11" s="42" customFormat="1">
      <c r="A52" s="46">
        <f>IF(OR(LEFT(B52,1)=" ",B52=""),"",MAX($A$8:A51)+1)</f>
        <v>40</v>
      </c>
      <c r="B52" s="73" t="s">
        <v>100</v>
      </c>
      <c r="C52" s="68"/>
      <c r="D52" s="69">
        <v>3</v>
      </c>
      <c r="E52" s="63" t="s">
        <v>49</v>
      </c>
      <c r="F52" s="56" t="s">
        <v>11</v>
      </c>
      <c r="G52" s="72">
        <v>30</v>
      </c>
      <c r="H52" s="53">
        <f>SUM($G$1:G52)</f>
        <v>1241</v>
      </c>
      <c r="I52" s="41"/>
      <c r="J52" s="149">
        <f t="shared" si="0"/>
        <v>12</v>
      </c>
      <c r="K52" s="149">
        <f t="shared" si="1"/>
        <v>52</v>
      </c>
    </row>
    <row r="53" spans="1:11" s="42" customFormat="1" ht="42">
      <c r="A53" s="46">
        <f>IF(OR(LEFT(B53,1)=" ",B53=""),"",MAX($A$8:A52)+1)</f>
        <v>41</v>
      </c>
      <c r="B53" s="73" t="s">
        <v>99</v>
      </c>
      <c r="C53" s="68"/>
      <c r="D53" s="69">
        <v>3</v>
      </c>
      <c r="E53" s="63" t="s">
        <v>49</v>
      </c>
      <c r="F53" s="56" t="s">
        <v>164</v>
      </c>
      <c r="G53" s="72">
        <v>0</v>
      </c>
      <c r="H53" s="53">
        <f>SUM($G$1:G53)</f>
        <v>1241</v>
      </c>
      <c r="I53" s="3"/>
      <c r="J53" s="149">
        <f t="shared" si="0"/>
        <v>12</v>
      </c>
      <c r="K53" s="149">
        <f t="shared" si="1"/>
        <v>53</v>
      </c>
    </row>
    <row r="54" spans="1:11" s="42" customFormat="1" ht="28">
      <c r="A54" s="25">
        <f>IF(OR(LEFT(B54,1)=" ",B54=""),"",MAX($A$8:A53)+1)</f>
        <v>42</v>
      </c>
      <c r="B54" s="34" t="s">
        <v>89</v>
      </c>
      <c r="C54" s="4"/>
      <c r="D54" s="5">
        <v>4</v>
      </c>
      <c r="E54" s="119" t="s">
        <v>94</v>
      </c>
      <c r="F54" s="6" t="s">
        <v>144</v>
      </c>
      <c r="G54" s="116">
        <v>150</v>
      </c>
      <c r="H54" s="30">
        <f>SUM($G$1:G54)</f>
        <v>1391</v>
      </c>
      <c r="I54" s="41"/>
      <c r="J54" s="149">
        <f t="shared" si="0"/>
        <v>12</v>
      </c>
      <c r="K54" s="149">
        <f t="shared" si="1"/>
        <v>54</v>
      </c>
    </row>
    <row r="55" spans="1:11" s="42" customFormat="1">
      <c r="A55" s="46">
        <f>IF(OR(LEFT(B55,1)=" ",B55=""),"",MAX($A$8:A54)+1)</f>
        <v>43</v>
      </c>
      <c r="B55" s="73" t="s">
        <v>80</v>
      </c>
      <c r="C55" s="68"/>
      <c r="D55" s="69">
        <v>5</v>
      </c>
      <c r="E55" s="63" t="s">
        <v>61</v>
      </c>
      <c r="F55" s="56" t="s">
        <v>11</v>
      </c>
      <c r="G55" s="72">
        <v>50</v>
      </c>
      <c r="H55" s="53">
        <f>SUM($G$1:G55)</f>
        <v>1441</v>
      </c>
      <c r="I55" s="41"/>
      <c r="J55" s="149">
        <f t="shared" si="0"/>
        <v>12</v>
      </c>
      <c r="K55" s="149">
        <f t="shared" si="1"/>
        <v>55</v>
      </c>
    </row>
    <row r="56" spans="1:11" s="1" customFormat="1">
      <c r="A56" s="46">
        <f>IF(OR(LEFT(B56,1)=" ",B56=""),"",MAX($A$8:A55)+1)</f>
        <v>44</v>
      </c>
      <c r="B56" s="115" t="s">
        <v>95</v>
      </c>
      <c r="C56" s="68"/>
      <c r="D56" s="69">
        <v>5.9</v>
      </c>
      <c r="E56" s="63" t="s">
        <v>93</v>
      </c>
      <c r="F56" s="56" t="s">
        <v>40</v>
      </c>
      <c r="G56" s="72">
        <v>30</v>
      </c>
      <c r="H56" s="53">
        <f>SUM($G$1:G56)</f>
        <v>1471</v>
      </c>
      <c r="I56" s="41"/>
      <c r="J56" s="149">
        <f t="shared" si="0"/>
        <v>12</v>
      </c>
      <c r="K56" s="149">
        <f t="shared" si="1"/>
        <v>56</v>
      </c>
    </row>
    <row r="57" spans="1:11" s="1" customFormat="1">
      <c r="A57" s="46">
        <f>IF(OR(LEFT(B57,1)=" ",B57=""),"",MAX($A$8:A56)+1)</f>
        <v>45</v>
      </c>
      <c r="B57" s="78" t="s">
        <v>91</v>
      </c>
      <c r="C57" s="68"/>
      <c r="D57" s="69">
        <v>6</v>
      </c>
      <c r="E57" s="63" t="s">
        <v>49</v>
      </c>
      <c r="F57" s="56" t="s">
        <v>108</v>
      </c>
      <c r="G57" s="55">
        <v>1000</v>
      </c>
      <c r="H57" s="53">
        <f>SUM($G$1:G57)</f>
        <v>2471</v>
      </c>
      <c r="I57" s="41"/>
      <c r="J57" s="149">
        <f t="shared" si="0"/>
        <v>12</v>
      </c>
      <c r="K57" s="149">
        <f t="shared" si="1"/>
        <v>57</v>
      </c>
    </row>
    <row r="58" spans="1:11" s="1" customFormat="1">
      <c r="A58" s="46"/>
      <c r="B58" s="78"/>
      <c r="C58" s="68"/>
      <c r="D58" s="69"/>
      <c r="E58" s="63"/>
      <c r="F58" s="56"/>
      <c r="G58" s="72"/>
      <c r="H58" s="79"/>
      <c r="I58" s="41"/>
      <c r="J58" s="149">
        <f t="shared" si="0"/>
        <v>13</v>
      </c>
      <c r="K58" s="149" t="str">
        <f t="shared" si="1"/>
        <v/>
      </c>
    </row>
    <row r="59" spans="1:11" s="1" customFormat="1">
      <c r="A59" s="46"/>
      <c r="B59" s="78"/>
      <c r="C59" s="68"/>
      <c r="D59" s="69"/>
      <c r="E59" s="63"/>
      <c r="F59" s="56"/>
      <c r="G59" s="72"/>
      <c r="H59" s="79"/>
      <c r="I59" s="41"/>
      <c r="J59" s="149">
        <f t="shared" si="0"/>
        <v>14</v>
      </c>
      <c r="K59" s="149" t="str">
        <f t="shared" si="1"/>
        <v/>
      </c>
    </row>
    <row r="60" spans="1:11" s="1" customFormat="1">
      <c r="A60" s="46"/>
      <c r="B60" s="78"/>
      <c r="C60" s="68"/>
      <c r="D60" s="69"/>
      <c r="E60" s="63"/>
      <c r="F60" s="56"/>
      <c r="G60" s="72"/>
      <c r="H60" s="79"/>
      <c r="I60" s="41"/>
      <c r="J60" s="149">
        <f t="shared" si="0"/>
        <v>15</v>
      </c>
      <c r="K60" s="149" t="str">
        <f t="shared" si="1"/>
        <v/>
      </c>
    </row>
    <row r="61" spans="1:11" s="1" customFormat="1">
      <c r="A61" s="46"/>
      <c r="B61" s="78"/>
      <c r="C61" s="68"/>
      <c r="D61" s="69"/>
      <c r="E61" s="63"/>
      <c r="F61" s="56"/>
      <c r="G61" s="72"/>
      <c r="H61" s="79"/>
      <c r="I61" s="41"/>
      <c r="J61" s="149">
        <f t="shared" si="0"/>
        <v>16</v>
      </c>
      <c r="K61" s="149" t="str">
        <f t="shared" si="1"/>
        <v/>
      </c>
    </row>
    <row r="62" spans="1:11" s="1" customFormat="1">
      <c r="A62" s="46"/>
      <c r="B62" s="78"/>
      <c r="C62" s="68"/>
      <c r="D62" s="69"/>
      <c r="E62" s="63"/>
      <c r="F62" s="56"/>
      <c r="G62" s="72"/>
      <c r="H62" s="79"/>
      <c r="I62" s="41"/>
      <c r="J62" s="149">
        <f t="shared" si="0"/>
        <v>17</v>
      </c>
      <c r="K62" s="149" t="str">
        <f t="shared" si="1"/>
        <v/>
      </c>
    </row>
    <row r="63" spans="1:11" s="1" customFormat="1">
      <c r="A63" s="46"/>
      <c r="B63" s="78"/>
      <c r="C63" s="68"/>
      <c r="D63" s="69"/>
      <c r="E63" s="63"/>
      <c r="F63" s="56"/>
      <c r="G63" s="72"/>
      <c r="H63" s="79"/>
      <c r="I63" s="41"/>
      <c r="J63" s="149">
        <f t="shared" si="0"/>
        <v>18</v>
      </c>
      <c r="K63" s="149" t="str">
        <f t="shared" si="1"/>
        <v/>
      </c>
    </row>
    <row r="64" spans="1:11" s="1" customFormat="1">
      <c r="A64" s="46"/>
      <c r="B64" s="78"/>
      <c r="C64" s="68"/>
      <c r="D64" s="69"/>
      <c r="E64" s="63"/>
      <c r="F64" s="56"/>
      <c r="G64" s="72"/>
      <c r="H64" s="79"/>
      <c r="I64" s="41"/>
      <c r="J64" s="149">
        <f t="shared" si="0"/>
        <v>19</v>
      </c>
      <c r="K64" s="149" t="str">
        <f t="shared" si="1"/>
        <v/>
      </c>
    </row>
    <row r="65" spans="1:11" s="1" customFormat="1">
      <c r="A65" s="46"/>
      <c r="B65" s="78"/>
      <c r="C65" s="68"/>
      <c r="D65" s="69"/>
      <c r="E65" s="63"/>
      <c r="F65" s="56"/>
      <c r="G65" s="72"/>
      <c r="H65" s="79"/>
      <c r="I65" s="41"/>
      <c r="J65" s="149">
        <f t="shared" si="0"/>
        <v>20</v>
      </c>
      <c r="K65" s="149" t="str">
        <f t="shared" si="1"/>
        <v/>
      </c>
    </row>
    <row r="66" spans="1:11" s="1" customFormat="1">
      <c r="A66" s="46"/>
      <c r="B66" s="78"/>
      <c r="C66" s="68"/>
      <c r="D66" s="69"/>
      <c r="E66" s="63"/>
      <c r="F66" s="56"/>
      <c r="G66" s="72"/>
      <c r="H66" s="79"/>
      <c r="I66" s="41"/>
      <c r="J66" s="149">
        <f t="shared" si="0"/>
        <v>21</v>
      </c>
      <c r="K66" s="149" t="str">
        <f t="shared" si="1"/>
        <v/>
      </c>
    </row>
    <row r="67" spans="1:11" s="1" customFormat="1">
      <c r="A67" s="46"/>
      <c r="B67" s="78"/>
      <c r="C67" s="68"/>
      <c r="D67" s="69"/>
      <c r="E67" s="63"/>
      <c r="F67" s="56"/>
      <c r="G67" s="72"/>
      <c r="H67" s="79"/>
      <c r="I67" s="41"/>
      <c r="J67" s="149">
        <f t="shared" si="0"/>
        <v>22</v>
      </c>
      <c r="K67" s="149" t="str">
        <f t="shared" si="1"/>
        <v/>
      </c>
    </row>
    <row r="68" spans="1:11" s="1" customFormat="1">
      <c r="A68" s="46"/>
      <c r="B68" s="78"/>
      <c r="C68" s="68"/>
      <c r="D68" s="69"/>
      <c r="E68" s="63"/>
      <c r="F68" s="56"/>
      <c r="G68" s="72"/>
      <c r="H68" s="79"/>
      <c r="I68" s="41"/>
      <c r="J68" s="149">
        <f t="shared" si="0"/>
        <v>23</v>
      </c>
      <c r="K68" s="149" t="str">
        <f t="shared" si="1"/>
        <v/>
      </c>
    </row>
    <row r="69" spans="1:11" s="1" customFormat="1">
      <c r="A69" s="46"/>
      <c r="B69" s="78"/>
      <c r="C69" s="68"/>
      <c r="D69" s="69"/>
      <c r="E69" s="63"/>
      <c r="F69" s="56"/>
      <c r="G69" s="72"/>
      <c r="H69" s="79"/>
      <c r="I69" s="41"/>
      <c r="J69" s="149">
        <f t="shared" si="0"/>
        <v>24</v>
      </c>
      <c r="K69" s="149" t="str">
        <f t="shared" si="1"/>
        <v/>
      </c>
    </row>
    <row r="70" spans="1:11" s="1" customFormat="1">
      <c r="A70" s="46"/>
      <c r="B70" s="78"/>
      <c r="C70" s="68"/>
      <c r="D70" s="69"/>
      <c r="E70" s="63"/>
      <c r="F70" s="56"/>
      <c r="G70" s="72"/>
      <c r="H70" s="79"/>
      <c r="I70" s="41"/>
      <c r="J70" s="149">
        <f t="shared" si="0"/>
        <v>25</v>
      </c>
      <c r="K70" s="149" t="str">
        <f t="shared" si="1"/>
        <v/>
      </c>
    </row>
    <row r="71" spans="1:11" s="1" customFormat="1">
      <c r="A71" s="46"/>
      <c r="B71" s="78"/>
      <c r="C71" s="68"/>
      <c r="D71" s="69"/>
      <c r="E71" s="63"/>
      <c r="F71" s="56"/>
      <c r="G71" s="72"/>
      <c r="H71" s="79"/>
      <c r="I71" s="41"/>
      <c r="J71" s="149">
        <f t="shared" si="0"/>
        <v>26</v>
      </c>
      <c r="K71" s="149" t="str">
        <f t="shared" si="1"/>
        <v/>
      </c>
    </row>
    <row r="72" spans="1:11" s="1" customFormat="1">
      <c r="A72" s="46"/>
      <c r="B72" s="78"/>
      <c r="C72" s="68"/>
      <c r="D72" s="69"/>
      <c r="E72" s="63"/>
      <c r="F72" s="56"/>
      <c r="G72" s="72"/>
      <c r="H72" s="79"/>
      <c r="I72" s="41"/>
      <c r="J72" s="149">
        <f t="shared" si="0"/>
        <v>27</v>
      </c>
      <c r="K72" s="149" t="str">
        <f t="shared" si="1"/>
        <v/>
      </c>
    </row>
    <row r="73" spans="1:11" s="1" customFormat="1">
      <c r="A73" s="46"/>
      <c r="B73" s="78"/>
      <c r="C73" s="68"/>
      <c r="D73" s="69"/>
      <c r="E73" s="63"/>
      <c r="F73" s="56"/>
      <c r="G73" s="72"/>
      <c r="H73" s="79"/>
      <c r="I73" s="41"/>
      <c r="J73" s="149">
        <f t="shared" si="0"/>
        <v>28</v>
      </c>
      <c r="K73" s="149" t="str">
        <f t="shared" si="1"/>
        <v/>
      </c>
    </row>
    <row r="74" spans="1:11" s="1" customFormat="1">
      <c r="A74" s="46"/>
      <c r="B74" s="78"/>
      <c r="C74" s="68"/>
      <c r="D74" s="69"/>
      <c r="E74" s="63"/>
      <c r="F74" s="56"/>
      <c r="G74" s="72"/>
      <c r="H74" s="79"/>
      <c r="I74" s="41"/>
      <c r="J74" s="149">
        <f t="shared" si="0"/>
        <v>29</v>
      </c>
      <c r="K74" s="149" t="str">
        <f t="shared" si="1"/>
        <v/>
      </c>
    </row>
    <row r="75" spans="1:11" s="1" customFormat="1">
      <c r="A75" s="46"/>
      <c r="B75" s="78"/>
      <c r="C75" s="68"/>
      <c r="D75" s="69"/>
      <c r="E75" s="63"/>
      <c r="F75" s="56"/>
      <c r="G75" s="72"/>
      <c r="H75" s="79"/>
      <c r="I75" s="41"/>
      <c r="J75" s="149">
        <f t="shared" si="0"/>
        <v>30</v>
      </c>
      <c r="K75" s="149" t="str">
        <f t="shared" si="1"/>
        <v/>
      </c>
    </row>
    <row r="76" spans="1:11" s="1" customFormat="1">
      <c r="A76" s="46"/>
      <c r="B76" s="78"/>
      <c r="C76" s="68"/>
      <c r="D76" s="69"/>
      <c r="E76" s="63"/>
      <c r="F76" s="56"/>
      <c r="G76" s="72"/>
      <c r="H76" s="79"/>
      <c r="I76" s="41"/>
      <c r="J76" s="149">
        <f t="shared" ref="J76:J77" si="5">IF(F76="",1,0)+J75</f>
        <v>31</v>
      </c>
      <c r="K76" s="149" t="str">
        <f t="shared" ref="K76:K77" si="6">IF(A76="","",ROW(A76))</f>
        <v/>
      </c>
    </row>
    <row r="77" spans="1:11" s="1" customFormat="1">
      <c r="A77" s="46"/>
      <c r="B77" s="78"/>
      <c r="C77" s="68"/>
      <c r="D77" s="69"/>
      <c r="E77" s="63"/>
      <c r="F77" s="56"/>
      <c r="G77" s="72"/>
      <c r="H77" s="79"/>
      <c r="I77" s="41"/>
      <c r="J77" s="149">
        <f t="shared" si="5"/>
        <v>32</v>
      </c>
      <c r="K77" s="149" t="str">
        <f t="shared" si="6"/>
        <v/>
      </c>
    </row>
    <row r="78" spans="1:11" s="42" customFormat="1" ht="14.5" thickBot="1">
      <c r="A78" s="46" t="str">
        <f>IF(OR(LEFT(B78,1)=" ",B78=""),"",MAX($A$8:A45)+1)</f>
        <v/>
      </c>
      <c r="B78" s="80"/>
      <c r="C78" s="81"/>
      <c r="D78" s="82"/>
      <c r="E78" s="120"/>
      <c r="F78" s="83"/>
      <c r="G78" s="84"/>
      <c r="H78" s="79">
        <f>SUM($G$1:G78)</f>
        <v>2471</v>
      </c>
      <c r="I78" s="41"/>
      <c r="J78" s="149"/>
      <c r="K78" s="149"/>
    </row>
    <row r="79" spans="1:11" s="90" customFormat="1" ht="16.5" customHeight="1" thickTop="1" thickBot="1">
      <c r="A79" s="85"/>
      <c r="B79" s="179" t="s">
        <v>57</v>
      </c>
      <c r="C79" s="180"/>
      <c r="D79" s="180"/>
      <c r="E79" s="180"/>
      <c r="F79" s="86">
        <v>5.9</v>
      </c>
      <c r="G79" s="87">
        <f>DSUM(D1:H78,4,G84:G85)</f>
        <v>1471</v>
      </c>
      <c r="H79" s="88"/>
      <c r="I79" s="89"/>
      <c r="J79" s="152"/>
      <c r="K79" s="153"/>
    </row>
    <row r="80" spans="1:11" s="90" customFormat="1" ht="15" hidden="1" customHeight="1" thickTop="1" thickBot="1">
      <c r="A80" s="24"/>
      <c r="B80" s="179" t="s">
        <v>58</v>
      </c>
      <c r="C80" s="180"/>
      <c r="D80" s="180"/>
      <c r="E80" s="180"/>
      <c r="F80" s="91">
        <v>5.9</v>
      </c>
      <c r="G80" s="87">
        <f>DSUM(D1:H78,4,F84:F85)</f>
        <v>1471</v>
      </c>
      <c r="H80" s="92"/>
      <c r="I80" s="89"/>
      <c r="J80" s="152"/>
      <c r="K80" s="153"/>
    </row>
    <row r="81" spans="1:11" s="90" customFormat="1" ht="16.5" thickTop="1" thickBot="1">
      <c r="A81" s="24"/>
      <c r="B81" s="181" t="s">
        <v>150</v>
      </c>
      <c r="C81" s="182"/>
      <c r="D81" s="182"/>
      <c r="E81" s="182"/>
      <c r="F81" s="93">
        <v>6</v>
      </c>
      <c r="G81" s="94">
        <f>DSUM(D1:H78,4,H84:H85)-DSUM(D1:H78,4,F84:F85)</f>
        <v>1000</v>
      </c>
      <c r="H81" s="95"/>
      <c r="I81" s="89"/>
      <c r="J81" s="152"/>
      <c r="K81" s="153"/>
    </row>
    <row r="82" spans="1:11" ht="14.5" thickTop="1">
      <c r="B82" s="97"/>
      <c r="C82" s="98"/>
      <c r="D82" s="98"/>
      <c r="E82" s="121"/>
      <c r="F82" s="42"/>
      <c r="G82" s="99"/>
      <c r="H82" s="99"/>
    </row>
    <row r="83" spans="1:11" ht="25">
      <c r="D83" s="102"/>
      <c r="F83" s="102"/>
      <c r="G83" s="103" t="s">
        <v>56</v>
      </c>
      <c r="H83" s="103" t="s">
        <v>55</v>
      </c>
    </row>
    <row r="84" spans="1:11">
      <c r="D84" s="102"/>
      <c r="F84" s="104" t="s">
        <v>0</v>
      </c>
      <c r="G84" s="104" t="s">
        <v>0</v>
      </c>
      <c r="H84" s="104" t="s">
        <v>0</v>
      </c>
    </row>
    <row r="85" spans="1:11">
      <c r="D85" s="102"/>
      <c r="E85" s="122">
        <v>6</v>
      </c>
      <c r="F85" s="102" t="str">
        <f>CONCATENATE("&lt;",TEXT(F80+0.1,"0.0"))</f>
        <v>&lt;6.0</v>
      </c>
      <c r="G85" s="102" t="str">
        <f>CONCATENATE("&lt;",TEXT(F79+0.1,"0.0"))</f>
        <v>&lt;6.0</v>
      </c>
      <c r="H85" s="104" t="str">
        <f>CONCATENATE("&lt;",TEXT(IF(E85&lt;6,6,E85)+0.1,"0.0"))</f>
        <v>&lt;6.1</v>
      </c>
    </row>
    <row r="86" spans="1:11">
      <c r="D86" s="102"/>
      <c r="F86" s="102"/>
      <c r="G86" s="104"/>
      <c r="H86" s="104"/>
    </row>
  </sheetData>
  <sortState ref="A40:J54">
    <sortCondition ref="D40:D54"/>
    <sortCondition ref="E40:E54"/>
  </sortState>
  <mergeCells count="8">
    <mergeCell ref="E1:E4"/>
    <mergeCell ref="B79:E79"/>
    <mergeCell ref="B80:E80"/>
    <mergeCell ref="B81:E81"/>
    <mergeCell ref="H1:H8"/>
    <mergeCell ref="D1:D8"/>
    <mergeCell ref="F1:F8"/>
    <mergeCell ref="G1:G8"/>
  </mergeCells>
  <phoneticPr fontId="17" type="noConversion"/>
  <conditionalFormatting sqref="J9:J35">
    <cfRule type="cellIs" dxfId="0" priority="1" operator="lessThan">
      <formula>1</formula>
    </cfRule>
  </conditionalFormatting>
  <pageMargins left="0.35433070866141736" right="0.35433070866141736" top="0.19685039370078741" bottom="0.19685039370078741" header="0" footer="0"/>
  <pageSetup paperSize="9" scale="96" fitToHeight="0" orientation="portrait" horizontalDpi="300" verticalDpi="300" r:id="rId1"/>
  <headerFooter alignWithMargins="0">
    <oddFooter>&amp;CPage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14" sqref="G14"/>
    </sheetView>
  </sheetViews>
  <sheetFormatPr defaultColWidth="9.23046875" defaultRowHeight="15.5"/>
  <cols>
    <col min="1" max="1" width="23.4609375" style="108" bestFit="1" customWidth="1"/>
    <col min="2" max="2" width="13" style="108" customWidth="1"/>
    <col min="3" max="4" width="9.23046875" style="110"/>
    <col min="5" max="16384" width="9.23046875" style="108"/>
  </cols>
  <sheetData>
    <row r="1" spans="1:5">
      <c r="C1" s="195" t="s">
        <v>129</v>
      </c>
      <c r="D1" s="195"/>
      <c r="E1" s="111" t="s">
        <v>131</v>
      </c>
    </row>
    <row r="2" spans="1:5">
      <c r="A2" s="109" t="s">
        <v>124</v>
      </c>
      <c r="B2" s="109"/>
      <c r="C2" s="110" t="s">
        <v>125</v>
      </c>
      <c r="D2" s="110" t="s">
        <v>126</v>
      </c>
    </row>
    <row r="3" spans="1:5">
      <c r="A3" s="108" t="s">
        <v>145</v>
      </c>
      <c r="B3" s="108" t="s">
        <v>127</v>
      </c>
      <c r="C3" s="110">
        <v>28.19</v>
      </c>
      <c r="D3" s="110">
        <f>C3*1.2</f>
        <v>33.828000000000003</v>
      </c>
      <c r="E3" s="110">
        <f>D3</f>
        <v>33.828000000000003</v>
      </c>
    </row>
    <row r="4" spans="1:5">
      <c r="A4" s="108" t="s">
        <v>130</v>
      </c>
      <c r="B4" s="108" t="s">
        <v>128</v>
      </c>
      <c r="D4" s="110">
        <f>57.5</f>
        <v>57.5</v>
      </c>
      <c r="E4" s="110">
        <f>D4*2</f>
        <v>115</v>
      </c>
    </row>
    <row r="5" spans="1:5">
      <c r="E5" s="110">
        <f>SUM(E3:E4)</f>
        <v>148.828</v>
      </c>
    </row>
  </sheetData>
  <mergeCells count="1"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YOUR JOBS</vt:lpstr>
      <vt:lpstr>Budget</vt:lpstr>
      <vt:lpstr>ALL JOBS</vt:lpstr>
      <vt:lpstr>Sheet1</vt:lpstr>
      <vt:lpstr>JOBS</vt:lpstr>
      <vt:lpstr>'ALL JOBS'!Print_Area</vt:lpstr>
      <vt:lpstr>Budget!Print_Area</vt:lpstr>
      <vt:lpstr>'YOUR JOBS'!Print_Area</vt:lpstr>
      <vt:lpstr>'ALL JOBS'!Print_Titles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CSPG Design Networks</dc:creator>
  <cp:lastModifiedBy>Phil</cp:lastModifiedBy>
  <cp:lastPrinted>2021-01-24T13:10:55Z</cp:lastPrinted>
  <dcterms:created xsi:type="dcterms:W3CDTF">2003-01-28T20:30:10Z</dcterms:created>
  <dcterms:modified xsi:type="dcterms:W3CDTF">2021-02-01T08:42:23Z</dcterms:modified>
</cp:coreProperties>
</file>