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90" yWindow="30" windowWidth="15360" windowHeight="8250" tabRatio="604" activeTab="1"/>
  </bookViews>
  <sheets>
    <sheet name="Di's Summary" sheetId="21040" r:id="rId1"/>
    <sheet name="Summary" sheetId="1" r:id="rId2"/>
    <sheet name="TRIP_ACCOUNTS" sheetId="2" r:id="rId3"/>
    <sheet name="MAINTENANCE" sheetId="3" r:id="rId4"/>
    <sheet name="LATE BANKING" sheetId="3356" r:id="rId5"/>
    <sheet name="OTHER COSTS" sheetId="21039" r:id="rId6"/>
    <sheet name="PROVISIONS &amp; SUBS" sheetId="40" r:id="rId7"/>
  </sheets>
  <definedNames>
    <definedName name="_xlnm.Print_Area" localSheetId="0">'Di''s Summary'!$A$1:$E$19</definedName>
    <definedName name="_xlnm.Print_Area" localSheetId="4">'LATE BANKING'!$A$1:$Y$41</definedName>
    <definedName name="_xlnm.Print_Area" localSheetId="3">MAINTENANCE!$A$1:$BR$55</definedName>
    <definedName name="_xlnm.Print_Area" localSheetId="5">'OTHER COSTS'!$A$4:$BS$82</definedName>
    <definedName name="_xlnm.Print_Area" localSheetId="6">'PROVISIONS &amp; SUBS'!$A$1:$J$82</definedName>
    <definedName name="_xlnm.Print_Area" localSheetId="1">Summary!$A$2:$T$107</definedName>
    <definedName name="_xlnm.Print_Area" localSheetId="2">TRIP_ACCOUNTS!$A$1:$T$145</definedName>
    <definedName name="_xlnm.Print_Titles" localSheetId="4">'LATE BANKING'!$1:$3</definedName>
    <definedName name="_xlnm.Print_Titles" localSheetId="3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Summary!$A$3:$T$107</definedName>
  </definedNames>
  <calcPr calcId="124519"/>
</workbook>
</file>

<file path=xl/calcChain.xml><?xml version="1.0" encoding="utf-8"?>
<calcChain xmlns="http://schemas.openxmlformats.org/spreadsheetml/2006/main">
  <c r="A25" i="40"/>
  <c r="B52" i="1"/>
  <c r="B51"/>
  <c r="A51"/>
  <c r="R17"/>
  <c r="A30"/>
  <c r="B30"/>
  <c r="H72"/>
  <c r="L73"/>
  <c r="H73"/>
  <c r="H70"/>
  <c r="L84"/>
  <c r="H84"/>
  <c r="L83"/>
  <c r="H83"/>
  <c r="L82"/>
  <c r="H82"/>
  <c r="L81"/>
  <c r="H81"/>
  <c r="L80"/>
  <c r="H80"/>
  <c r="L79"/>
  <c r="H79"/>
  <c r="H78"/>
  <c r="L78"/>
  <c r="L85" s="1"/>
  <c r="AA101"/>
  <c r="AA100"/>
  <c r="AA96"/>
  <c r="AA95"/>
  <c r="S18" i="2"/>
  <c r="R18"/>
  <c r="Q18"/>
  <c r="P18"/>
  <c r="O18"/>
  <c r="O12"/>
  <c r="P12" s="1"/>
  <c r="Q12" s="1"/>
  <c r="R12" s="1"/>
  <c r="S12" s="1"/>
  <c r="E124"/>
  <c r="D124"/>
  <c r="C124"/>
  <c r="T92" i="1" l="1"/>
  <c r="Y91"/>
  <c r="X91"/>
  <c r="W91"/>
  <c r="Y88"/>
  <c r="X88"/>
  <c r="W88"/>
  <c r="T88"/>
  <c r="S88"/>
  <c r="N88"/>
  <c r="Y87"/>
  <c r="X87"/>
  <c r="W87"/>
  <c r="G80"/>
  <c r="G77"/>
  <c r="G75"/>
  <c r="G73"/>
  <c r="G70"/>
  <c r="G67"/>
  <c r="G57"/>
  <c r="Z101"/>
  <c r="Y101"/>
  <c r="X101"/>
  <c r="T101"/>
  <c r="N101"/>
  <c r="Z100"/>
  <c r="Y100"/>
  <c r="X100"/>
  <c r="AA99"/>
  <c r="Z99"/>
  <c r="Y99"/>
  <c r="X99"/>
  <c r="Z96"/>
  <c r="Y96"/>
  <c r="X96"/>
  <c r="Z95"/>
  <c r="Y95"/>
  <c r="X95"/>
  <c r="AA94"/>
  <c r="Z94"/>
  <c r="Y94"/>
  <c r="X94"/>
  <c r="Y92"/>
  <c r="X92"/>
  <c r="W92"/>
  <c r="Y86"/>
  <c r="X86"/>
  <c r="W86"/>
  <c r="N92"/>
  <c r="S92"/>
  <c r="Y85"/>
  <c r="X85"/>
  <c r="W85"/>
  <c r="N87"/>
  <c r="N85"/>
  <c r="S86"/>
  <c r="N86"/>
  <c r="S85"/>
  <c r="N91"/>
  <c r="S87"/>
  <c r="N84" l="1"/>
  <c r="Y77"/>
  <c r="X77"/>
  <c r="W77"/>
  <c r="Y76"/>
  <c r="X76"/>
  <c r="W76"/>
  <c r="N77"/>
  <c r="S77"/>
  <c r="S76"/>
  <c r="N76"/>
  <c r="N75" l="1"/>
  <c r="Y73"/>
  <c r="X73"/>
  <c r="W73"/>
  <c r="Y82"/>
  <c r="X82"/>
  <c r="W82"/>
  <c r="Y81"/>
  <c r="X81"/>
  <c r="W81"/>
  <c r="Y80"/>
  <c r="X80"/>
  <c r="W80"/>
  <c r="Y79"/>
  <c r="X79"/>
  <c r="W79"/>
  <c r="Y78"/>
  <c r="X78"/>
  <c r="W78"/>
  <c r="Y71"/>
  <c r="X71"/>
  <c r="W71"/>
  <c r="S71"/>
  <c r="N71"/>
  <c r="Y70"/>
  <c r="X70"/>
  <c r="W70"/>
  <c r="Y69"/>
  <c r="X69"/>
  <c r="W69"/>
  <c r="N69"/>
  <c r="S69"/>
  <c r="S70"/>
  <c r="N70"/>
  <c r="S78"/>
  <c r="N78"/>
  <c r="N79"/>
  <c r="S79"/>
  <c r="S80"/>
  <c r="N80"/>
  <c r="N81"/>
  <c r="S81"/>
  <c r="S82"/>
  <c r="N82"/>
  <c r="N73"/>
  <c r="S73"/>
  <c r="D46" l="1"/>
  <c r="J47"/>
  <c r="D47"/>
  <c r="J31"/>
  <c r="I31" s="1"/>
  <c r="BT70" i="21039"/>
  <c r="BT66"/>
  <c r="BT67"/>
  <c r="BT12"/>
  <c r="BT11"/>
  <c r="BT73" l="1"/>
  <c r="BT72"/>
  <c r="BT71"/>
  <c r="BT69"/>
  <c r="BT68"/>
  <c r="BT65"/>
  <c r="BT64"/>
  <c r="BT13" l="1"/>
  <c r="BT10"/>
  <c r="BT9"/>
  <c r="BT8"/>
  <c r="BT7"/>
  <c r="S66" i="1"/>
  <c r="W67" l="1"/>
  <c r="X67"/>
  <c r="Y67"/>
  <c r="S67"/>
  <c r="N67"/>
  <c r="W68" l="1"/>
  <c r="X68"/>
  <c r="Y68"/>
  <c r="A6"/>
  <c r="A48" i="40"/>
  <c r="A72"/>
  <c r="A85"/>
  <c r="F93"/>
  <c r="F94" s="1"/>
  <c r="E93"/>
  <c r="E94" s="1"/>
  <c r="D93"/>
  <c r="D94" s="1"/>
  <c r="C93"/>
  <c r="C94" s="1"/>
  <c r="B93"/>
  <c r="B94" s="1"/>
  <c r="G92"/>
  <c r="H92" s="1"/>
  <c r="I92" s="1"/>
  <c r="G91"/>
  <c r="H91" s="1"/>
  <c r="I91" s="1"/>
  <c r="G90"/>
  <c r="H90" s="1"/>
  <c r="I90" s="1"/>
  <c r="G89"/>
  <c r="H89" s="1"/>
  <c r="I89" s="1"/>
  <c r="G88"/>
  <c r="G93" s="1"/>
  <c r="I87"/>
  <c r="G86"/>
  <c r="A37"/>
  <c r="H45"/>
  <c r="F45"/>
  <c r="F46" s="1"/>
  <c r="E45"/>
  <c r="E46" s="1"/>
  <c r="D45"/>
  <c r="D46" s="1"/>
  <c r="C45"/>
  <c r="C46" s="1"/>
  <c r="B45"/>
  <c r="B46" s="1"/>
  <c r="I44"/>
  <c r="G44"/>
  <c r="I43"/>
  <c r="G43"/>
  <c r="I42"/>
  <c r="G42"/>
  <c r="I41"/>
  <c r="G41"/>
  <c r="I40"/>
  <c r="I45" s="1"/>
  <c r="G40"/>
  <c r="G45" s="1"/>
  <c r="I39"/>
  <c r="G38"/>
  <c r="A61"/>
  <c r="S17" i="1"/>
  <c r="A22" i="40"/>
  <c r="B92" i="2"/>
  <c r="N68" i="1"/>
  <c r="S68"/>
  <c r="T66" l="1"/>
  <c r="C10" i="40"/>
  <c r="G10"/>
  <c r="I10"/>
  <c r="B10"/>
  <c r="I88" l="1"/>
  <c r="I93" s="1"/>
  <c r="T18" i="1" s="1"/>
  <c r="H93" i="40"/>
  <c r="D11" i="21040"/>
  <c r="B6" i="3" l="1"/>
  <c r="J22" i="1" l="1"/>
  <c r="S18"/>
  <c r="T1" l="1"/>
  <c r="P17" l="1"/>
  <c r="P18"/>
  <c r="F69" i="40"/>
  <c r="F70" s="1"/>
  <c r="F83" s="1"/>
  <c r="E69"/>
  <c r="E70" s="1"/>
  <c r="E83" s="1"/>
  <c r="D69"/>
  <c r="D70" s="1"/>
  <c r="D83" s="1"/>
  <c r="C69"/>
  <c r="C70" s="1"/>
  <c r="C83" s="1"/>
  <c r="B69"/>
  <c r="B83" s="1"/>
  <c r="G68"/>
  <c r="H68" s="1"/>
  <c r="I68" s="1"/>
  <c r="G67"/>
  <c r="G66"/>
  <c r="H66" s="1"/>
  <c r="I66" s="1"/>
  <c r="G65"/>
  <c r="H65" s="1"/>
  <c r="I65" s="1"/>
  <c r="G64"/>
  <c r="H64" s="1"/>
  <c r="L72" i="1" s="1"/>
  <c r="I63" i="40"/>
  <c r="G62"/>
  <c r="G51"/>
  <c r="H67" l="1"/>
  <c r="I67" s="1"/>
  <c r="H69"/>
  <c r="I64"/>
  <c r="I69" s="1"/>
  <c r="G69"/>
  <c r="H33"/>
  <c r="F33"/>
  <c r="F34" s="1"/>
  <c r="F35" s="1"/>
  <c r="E33"/>
  <c r="E34" s="1"/>
  <c r="E35" s="1"/>
  <c r="D33"/>
  <c r="D34" s="1"/>
  <c r="D35" s="1"/>
  <c r="C33"/>
  <c r="C34" s="1"/>
  <c r="C35" s="1"/>
  <c r="B33"/>
  <c r="B35" s="1"/>
  <c r="I32"/>
  <c r="G32"/>
  <c r="I31"/>
  <c r="G31"/>
  <c r="I30"/>
  <c r="G30"/>
  <c r="I29"/>
  <c r="G29"/>
  <c r="I28"/>
  <c r="I33" s="1"/>
  <c r="D8" i="1" s="1"/>
  <c r="G28" i="40"/>
  <c r="I27"/>
  <c r="G26"/>
  <c r="G33" l="1"/>
  <c r="I47" i="1"/>
  <c r="K35" i="40"/>
  <c r="K47" i="1" l="1"/>
  <c r="P53" s="1"/>
  <c r="O52"/>
  <c r="L74"/>
  <c r="H104"/>
  <c r="H103"/>
  <c r="L102"/>
  <c r="H102"/>
  <c r="H101"/>
  <c r="L93"/>
  <c r="H93"/>
  <c r="L92"/>
  <c r="H92"/>
  <c r="L91"/>
  <c r="H91"/>
  <c r="H90"/>
  <c r="H89"/>
  <c r="BT62" i="21039"/>
  <c r="L89" i="1" s="1"/>
  <c r="N100"/>
  <c r="N99"/>
  <c r="T99"/>
  <c r="B6" i="2" l="1"/>
  <c r="BT26" i="3"/>
  <c r="C77" i="1" s="1"/>
  <c r="E77" s="1"/>
  <c r="B26" i="3"/>
  <c r="BT25"/>
  <c r="C76" i="1" s="1"/>
  <c r="E76" s="1"/>
  <c r="G76" s="1"/>
  <c r="B25" i="3"/>
  <c r="E95" i="1"/>
  <c r="G95" s="1"/>
  <c r="E94"/>
  <c r="G94" s="1"/>
  <c r="E93"/>
  <c r="G93" s="1"/>
  <c r="E92"/>
  <c r="G92" s="1"/>
  <c r="E91"/>
  <c r="G91" s="1"/>
  <c r="E90"/>
  <c r="G90" s="1"/>
  <c r="E89"/>
  <c r="G89" s="1"/>
  <c r="E88"/>
  <c r="G88" s="1"/>
  <c r="J12" i="40" l="1"/>
  <c r="G18" i="1"/>
  <c r="N18" i="2"/>
  <c r="M18"/>
  <c r="L18"/>
  <c r="K18"/>
  <c r="J18"/>
  <c r="BT63" i="21039"/>
  <c r="L90" i="1" s="1"/>
  <c r="L94" s="1"/>
  <c r="BT16" i="21039"/>
  <c r="BT15"/>
  <c r="BT14"/>
  <c r="L63" i="1"/>
  <c r="L61"/>
  <c r="BT6" i="21039"/>
  <c r="L101" i="1"/>
  <c r="L104"/>
  <c r="L103"/>
  <c r="D31"/>
  <c r="E6" i="21040"/>
  <c r="G99" i="1"/>
  <c r="D96"/>
  <c r="J42" s="1"/>
  <c r="B7" i="3"/>
  <c r="B8"/>
  <c r="B9"/>
  <c r="B10"/>
  <c r="B11"/>
  <c r="B12"/>
  <c r="B13"/>
  <c r="B14"/>
  <c r="B15"/>
  <c r="B16"/>
  <c r="B17"/>
  <c r="B18"/>
  <c r="B19"/>
  <c r="B20"/>
  <c r="B21"/>
  <c r="B22"/>
  <c r="B23"/>
  <c r="B24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3" i="2"/>
  <c r="C43" s="1"/>
  <c r="C50" s="1"/>
  <c r="BT81" i="21039"/>
  <c r="BT80"/>
  <c r="BT79"/>
  <c r="BT78"/>
  <c r="BT77"/>
  <c r="BT76"/>
  <c r="BT75"/>
  <c r="BT74"/>
  <c r="BT28"/>
  <c r="BT27"/>
  <c r="AO41"/>
  <c r="U141" i="2"/>
  <c r="B47" i="1" s="1"/>
  <c r="I40" s="1"/>
  <c r="U128" i="2"/>
  <c r="B27" i="1" s="1"/>
  <c r="I23" s="1"/>
  <c r="K23" s="1"/>
  <c r="H10" i="40"/>
  <c r="D10"/>
  <c r="B12"/>
  <c r="B13" s="1"/>
  <c r="C42" i="3356"/>
  <c r="B42"/>
  <c r="C6" i="21040"/>
  <c r="L68" i="1"/>
  <c r="L66"/>
  <c r="L64"/>
  <c r="BT40" i="21039"/>
  <c r="BT39"/>
  <c r="BT38"/>
  <c r="BT37"/>
  <c r="BT36"/>
  <c r="BT35"/>
  <c r="BT34"/>
  <c r="BT17"/>
  <c r="BT33"/>
  <c r="BT32"/>
  <c r="BT31"/>
  <c r="BT30"/>
  <c r="BT29"/>
  <c r="BT26"/>
  <c r="BT25"/>
  <c r="BT24"/>
  <c r="BT23"/>
  <c r="BT22"/>
  <c r="BT21"/>
  <c r="BT20"/>
  <c r="BT19"/>
  <c r="BT18"/>
  <c r="L69" i="1"/>
  <c r="H69"/>
  <c r="AF41" i="21039"/>
  <c r="D39" i="3356"/>
  <c r="D25"/>
  <c r="D40" s="1"/>
  <c r="D41" s="1"/>
  <c r="D42" s="1"/>
  <c r="B18" i="40"/>
  <c r="B20" s="1"/>
  <c r="L7" i="1"/>
  <c r="B50" i="2"/>
  <c r="S111"/>
  <c r="S112"/>
  <c r="R111"/>
  <c r="R112"/>
  <c r="Q111"/>
  <c r="Q112"/>
  <c r="P111"/>
  <c r="P112"/>
  <c r="O111"/>
  <c r="O112"/>
  <c r="N111"/>
  <c r="N112"/>
  <c r="M110"/>
  <c r="M111"/>
  <c r="M112"/>
  <c r="L110"/>
  <c r="L111"/>
  <c r="L112"/>
  <c r="K111"/>
  <c r="K112"/>
  <c r="J111"/>
  <c r="J112"/>
  <c r="I110"/>
  <c r="I111"/>
  <c r="I112"/>
  <c r="H111"/>
  <c r="H112"/>
  <c r="G110"/>
  <c r="G111"/>
  <c r="G112"/>
  <c r="F110"/>
  <c r="F111"/>
  <c r="F112"/>
  <c r="E110"/>
  <c r="E111"/>
  <c r="E112"/>
  <c r="E41" i="3356"/>
  <c r="E42" s="1"/>
  <c r="T55" i="3"/>
  <c r="S27" i="2" s="1"/>
  <c r="S41" i="21039"/>
  <c r="S82"/>
  <c r="S23" i="2" s="1"/>
  <c r="S24" s="1"/>
  <c r="S55" i="3"/>
  <c r="R41" i="21039"/>
  <c r="R82"/>
  <c r="R23" i="2" s="1"/>
  <c r="R24" s="1"/>
  <c r="R55" i="3"/>
  <c r="Q41" i="21039"/>
  <c r="Q82"/>
  <c r="Q23" i="2" s="1"/>
  <c r="Q24" s="1"/>
  <c r="Q55" i="3"/>
  <c r="P27" i="2" s="1"/>
  <c r="P41" i="21039"/>
  <c r="P82"/>
  <c r="P23" i="2" s="1"/>
  <c r="P24" s="1"/>
  <c r="P55" i="3"/>
  <c r="O27" i="2" s="1"/>
  <c r="O41" i="21039"/>
  <c r="O85" s="1"/>
  <c r="O82"/>
  <c r="O23" i="2" s="1"/>
  <c r="O24" s="1"/>
  <c r="O55" i="3"/>
  <c r="O58" s="1"/>
  <c r="N41" i="21039"/>
  <c r="N82"/>
  <c r="N23" i="2" s="1"/>
  <c r="N24" s="1"/>
  <c r="N55" i="3"/>
  <c r="N58" s="1"/>
  <c r="M41" i="21039"/>
  <c r="M28" i="2" s="1"/>
  <c r="M82" i="21039"/>
  <c r="M23" i="2" s="1"/>
  <c r="M24" s="1"/>
  <c r="M55" i="3"/>
  <c r="L41" i="21039"/>
  <c r="L82"/>
  <c r="L23" i="2" s="1"/>
  <c r="L24" s="1"/>
  <c r="L55" i="3"/>
  <c r="L58" s="1"/>
  <c r="K41" i="21039"/>
  <c r="K82"/>
  <c r="K23" i="2" s="1"/>
  <c r="K24" s="1"/>
  <c r="K55" i="3"/>
  <c r="J41" i="21039"/>
  <c r="J82"/>
  <c r="J23" i="2" s="1"/>
  <c r="J24" s="1"/>
  <c r="J55" i="3"/>
  <c r="I41" i="21039"/>
  <c r="I82"/>
  <c r="I55" i="3"/>
  <c r="I58" s="1"/>
  <c r="H41" i="21039"/>
  <c r="H82"/>
  <c r="H55" i="3"/>
  <c r="G41" i="21039"/>
  <c r="G82"/>
  <c r="F41"/>
  <c r="F82"/>
  <c r="F23" i="2" s="1"/>
  <c r="F24" s="1"/>
  <c r="E41" i="21039"/>
  <c r="E82"/>
  <c r="E23" i="2" s="1"/>
  <c r="E24" s="1"/>
  <c r="D41" i="21039"/>
  <c r="D82"/>
  <c r="C41"/>
  <c r="C28" i="2" s="1"/>
  <c r="C82" i="21039"/>
  <c r="C23" i="2" s="1"/>
  <c r="C24" s="1"/>
  <c r="B41" i="21039"/>
  <c r="B82"/>
  <c r="B23" i="2" s="1"/>
  <c r="BP3" i="3"/>
  <c r="BP4" i="21039" s="1"/>
  <c r="U144" i="2"/>
  <c r="C55" i="3"/>
  <c r="C58" s="1"/>
  <c r="D55"/>
  <c r="D58" s="1"/>
  <c r="E55"/>
  <c r="E58" s="1"/>
  <c r="F55"/>
  <c r="G55"/>
  <c r="U55"/>
  <c r="B64" i="2" s="1"/>
  <c r="V55" i="3"/>
  <c r="V58" s="1"/>
  <c r="W55"/>
  <c r="X55"/>
  <c r="Y55"/>
  <c r="Y58" s="1"/>
  <c r="Z55"/>
  <c r="Z58" s="1"/>
  <c r="AA55"/>
  <c r="AA58" s="1"/>
  <c r="AB55"/>
  <c r="AB58" s="1"/>
  <c r="AC55"/>
  <c r="AD55"/>
  <c r="K64" i="2" s="1"/>
  <c r="AE55" i="3"/>
  <c r="AE58" s="1"/>
  <c r="AF55"/>
  <c r="AF58" s="1"/>
  <c r="AG55"/>
  <c r="N64" i="2" s="1"/>
  <c r="AH55" i="3"/>
  <c r="AH58" s="1"/>
  <c r="AI55"/>
  <c r="AJ55"/>
  <c r="AK55"/>
  <c r="R64" i="2" s="1"/>
  <c r="AL55" i="3"/>
  <c r="AM55"/>
  <c r="AM58" s="1"/>
  <c r="AN55"/>
  <c r="C101" i="2" s="1"/>
  <c r="AO55" i="3"/>
  <c r="AP55"/>
  <c r="AP58" s="1"/>
  <c r="AQ55"/>
  <c r="AR55"/>
  <c r="AR58" s="1"/>
  <c r="AS55"/>
  <c r="AT55"/>
  <c r="AT58" s="1"/>
  <c r="AU55"/>
  <c r="AU58" s="1"/>
  <c r="AV55"/>
  <c r="AV58" s="1"/>
  <c r="AW55"/>
  <c r="AX55"/>
  <c r="M101" i="2" s="1"/>
  <c r="AY55" i="3"/>
  <c r="AY58" s="1"/>
  <c r="AZ55"/>
  <c r="AZ58" s="1"/>
  <c r="BA55"/>
  <c r="P101" i="2" s="1"/>
  <c r="BB55" i="3"/>
  <c r="BC55"/>
  <c r="BD55"/>
  <c r="BE55"/>
  <c r="BE58" s="1"/>
  <c r="C138" i="2"/>
  <c r="D138"/>
  <c r="E138"/>
  <c r="L60" i="1"/>
  <c r="L62"/>
  <c r="L65"/>
  <c r="BT12" i="3"/>
  <c r="C63" i="1" s="1"/>
  <c r="E63" s="1"/>
  <c r="G63" s="1"/>
  <c r="BT7" i="3"/>
  <c r="C58" i="1" s="1"/>
  <c r="E58" s="1"/>
  <c r="BT39" i="3"/>
  <c r="J27" i="1"/>
  <c r="B12" i="2"/>
  <c r="C12" s="1"/>
  <c r="D12" s="1"/>
  <c r="E12" s="1"/>
  <c r="F12" s="1"/>
  <c r="G12" s="1"/>
  <c r="H12" s="1"/>
  <c r="I12" s="1"/>
  <c r="J12" s="1"/>
  <c r="K12" s="1"/>
  <c r="L12" s="1"/>
  <c r="M12" s="1"/>
  <c r="N12" s="1"/>
  <c r="B49" s="1"/>
  <c r="C49" s="1"/>
  <c r="N146"/>
  <c r="BD41" i="21039"/>
  <c r="BD82"/>
  <c r="B134" i="2" s="1"/>
  <c r="B135" s="1"/>
  <c r="C149"/>
  <c r="C148"/>
  <c r="C139"/>
  <c r="C140"/>
  <c r="D149"/>
  <c r="D148"/>
  <c r="D139"/>
  <c r="D140"/>
  <c r="E149"/>
  <c r="E148"/>
  <c r="E139"/>
  <c r="E140"/>
  <c r="F146"/>
  <c r="M146"/>
  <c r="O146"/>
  <c r="P146"/>
  <c r="Q146"/>
  <c r="R146"/>
  <c r="S146"/>
  <c r="AN41" i="21039"/>
  <c r="D92" i="2"/>
  <c r="E92"/>
  <c r="AR41" i="21039"/>
  <c r="H92" i="2"/>
  <c r="AS41" i="21039"/>
  <c r="I92" i="2"/>
  <c r="AU41" i="21039"/>
  <c r="K92" i="2"/>
  <c r="AW41" i="21039"/>
  <c r="M92" i="2"/>
  <c r="AX41" i="21039"/>
  <c r="N92" i="2"/>
  <c r="AY41" i="21039"/>
  <c r="O102" i="2" s="1"/>
  <c r="O92"/>
  <c r="AZ41" i="21039"/>
  <c r="P92" i="2"/>
  <c r="BA41" i="21039"/>
  <c r="Q102" i="2" s="1"/>
  <c r="Q92"/>
  <c r="BB41" i="21039"/>
  <c r="R92" i="2"/>
  <c r="T41" i="21039"/>
  <c r="T82"/>
  <c r="U41"/>
  <c r="U85" s="1"/>
  <c r="U82"/>
  <c r="C60" i="2" s="1"/>
  <c r="C61" s="1"/>
  <c r="V41" i="21039"/>
  <c r="V82"/>
  <c r="D60" i="2" s="1"/>
  <c r="D61" s="1"/>
  <c r="X41" i="21039"/>
  <c r="F65" i="2" s="1"/>
  <c r="X82" i="21039"/>
  <c r="F60" i="2" s="1"/>
  <c r="F61" s="1"/>
  <c r="F55"/>
  <c r="Y41" i="21039"/>
  <c r="Y82"/>
  <c r="G55" i="2"/>
  <c r="AA41" i="21039"/>
  <c r="I65" i="2" s="1"/>
  <c r="AA82" i="21039"/>
  <c r="I60" i="2" s="1"/>
  <c r="I61" s="1"/>
  <c r="I55"/>
  <c r="AD41" i="21039"/>
  <c r="AD82"/>
  <c r="L55" i="2"/>
  <c r="AE41" i="21039"/>
  <c r="M65" i="2" s="1"/>
  <c r="AE82" i="21039"/>
  <c r="M60" i="2" s="1"/>
  <c r="M61" s="1"/>
  <c r="M55"/>
  <c r="B80" i="40"/>
  <c r="B81" s="1"/>
  <c r="B82" s="1"/>
  <c r="E10"/>
  <c r="F10"/>
  <c r="F12" s="1"/>
  <c r="B1" i="21040"/>
  <c r="A1" i="3356"/>
  <c r="B8"/>
  <c r="B9" s="1"/>
  <c r="C8"/>
  <c r="C9" s="1"/>
  <c r="D8"/>
  <c r="D9"/>
  <c r="F8"/>
  <c r="F9" s="1"/>
  <c r="G8"/>
  <c r="G9" s="1"/>
  <c r="H8"/>
  <c r="J9" s="1"/>
  <c r="I8"/>
  <c r="I9" s="1"/>
  <c r="E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 s="1"/>
  <c r="J18" s="1"/>
  <c r="K16"/>
  <c r="K17" s="1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 s="1"/>
  <c r="R18" s="1"/>
  <c r="S16"/>
  <c r="S17" s="1"/>
  <c r="S18" s="1"/>
  <c r="G20"/>
  <c r="H20"/>
  <c r="I20"/>
  <c r="J20"/>
  <c r="K20"/>
  <c r="L20"/>
  <c r="M20"/>
  <c r="N20"/>
  <c r="O20"/>
  <c r="P20"/>
  <c r="Q20"/>
  <c r="R20"/>
  <c r="S20"/>
  <c r="F41"/>
  <c r="F42" s="1"/>
  <c r="G41"/>
  <c r="G42"/>
  <c r="H41"/>
  <c r="I41"/>
  <c r="I42" s="1"/>
  <c r="J41"/>
  <c r="J42"/>
  <c r="K41"/>
  <c r="K42" s="1"/>
  <c r="L41"/>
  <c r="L42"/>
  <c r="M41"/>
  <c r="M42" s="1"/>
  <c r="N41"/>
  <c r="N42" s="1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F56"/>
  <c r="G56"/>
  <c r="B62"/>
  <c r="B70" s="1"/>
  <c r="B71" s="1"/>
  <c r="B72" s="1"/>
  <c r="B73" s="1"/>
  <c r="C62"/>
  <c r="C70" s="1"/>
  <c r="D62"/>
  <c r="D70" s="1"/>
  <c r="E62"/>
  <c r="E70" s="1"/>
  <c r="E71" s="1"/>
  <c r="E72" s="1"/>
  <c r="E73" s="1"/>
  <c r="F62"/>
  <c r="G62"/>
  <c r="G70" s="1"/>
  <c r="B69"/>
  <c r="C69"/>
  <c r="D69"/>
  <c r="E69"/>
  <c r="F69"/>
  <c r="G69"/>
  <c r="F70"/>
  <c r="H73"/>
  <c r="I73"/>
  <c r="J73"/>
  <c r="K73"/>
  <c r="L73"/>
  <c r="M73"/>
  <c r="N73"/>
  <c r="O73"/>
  <c r="P73"/>
  <c r="Q73"/>
  <c r="R73"/>
  <c r="B1" i="3"/>
  <c r="C3"/>
  <c r="B4" i="21039" s="1"/>
  <c r="D3" i="3"/>
  <c r="C4" i="21039" s="1"/>
  <c r="E3" i="3"/>
  <c r="D4" i="21039" s="1"/>
  <c r="F3" i="3"/>
  <c r="E4" i="21039" s="1"/>
  <c r="G3" i="3"/>
  <c r="F4" i="21039" s="1"/>
  <c r="H3" i="3"/>
  <c r="G4" i="21039" s="1"/>
  <c r="I3" i="3"/>
  <c r="H4" i="21039" s="1"/>
  <c r="J3" i="3"/>
  <c r="I4" i="21039" s="1"/>
  <c r="K3" i="3"/>
  <c r="J4" i="21039" s="1"/>
  <c r="L3" i="3"/>
  <c r="K4" i="21039" s="1"/>
  <c r="M3" i="3"/>
  <c r="L4" i="21039" s="1"/>
  <c r="N3" i="3"/>
  <c r="M4" i="21039" s="1"/>
  <c r="O3" i="3"/>
  <c r="N4" i="21039" s="1"/>
  <c r="P3" i="3"/>
  <c r="O4" i="21039" s="1"/>
  <c r="Q3" i="3"/>
  <c r="P4" i="21039" s="1"/>
  <c r="R3" i="3"/>
  <c r="Q4" i="21039" s="1"/>
  <c r="S3" i="3"/>
  <c r="R4" i="21039" s="1"/>
  <c r="T3" i="3"/>
  <c r="S4" i="21039" s="1"/>
  <c r="U3" i="3"/>
  <c r="T4" i="21039" s="1"/>
  <c r="V3" i="3"/>
  <c r="U4" i="21039" s="1"/>
  <c r="W3" i="3"/>
  <c r="V4" i="21039" s="1"/>
  <c r="X3" i="3"/>
  <c r="W4" i="21039" s="1"/>
  <c r="Y3" i="3"/>
  <c r="X4" i="21039" s="1"/>
  <c r="Z3" i="3"/>
  <c r="Y4" i="21039" s="1"/>
  <c r="AA3" i="3"/>
  <c r="Z4" i="21039" s="1"/>
  <c r="AB3" i="3"/>
  <c r="AA4" i="21039" s="1"/>
  <c r="AC3" i="3"/>
  <c r="AB4" i="21039" s="1"/>
  <c r="AD3" i="3"/>
  <c r="AC4" i="21039" s="1"/>
  <c r="AE3" i="3"/>
  <c r="AD4" i="21039" s="1"/>
  <c r="AF3" i="3"/>
  <c r="AE4" i="21039" s="1"/>
  <c r="AG3" i="3"/>
  <c r="AF4" i="21039" s="1"/>
  <c r="AH3" i="3"/>
  <c r="AG4" i="21039" s="1"/>
  <c r="AI3" i="3"/>
  <c r="AH4" i="21039" s="1"/>
  <c r="AJ3" i="3"/>
  <c r="AI4" i="21039" s="1"/>
  <c r="AK3" i="3"/>
  <c r="AJ4" i="21039" s="1"/>
  <c r="AL3" i="3"/>
  <c r="AK4" i="21039" s="1"/>
  <c r="AM3" i="3"/>
  <c r="AL4" i="21039" s="1"/>
  <c r="AN3" i="3"/>
  <c r="AM4" i="21039" s="1"/>
  <c r="AO3" i="3"/>
  <c r="AN4" i="21039" s="1"/>
  <c r="AP3" i="3"/>
  <c r="AO4" i="21039" s="1"/>
  <c r="AQ3" i="3"/>
  <c r="AP4" i="21039" s="1"/>
  <c r="AR3" i="3"/>
  <c r="AQ4" i="21039" s="1"/>
  <c r="AS3" i="3"/>
  <c r="AR4" i="21039" s="1"/>
  <c r="AT3" i="3"/>
  <c r="AS4" i="21039" s="1"/>
  <c r="AU3" i="3"/>
  <c r="AT4" i="21039" s="1"/>
  <c r="AV3" i="3"/>
  <c r="AU4" i="21039" s="1"/>
  <c r="AW3" i="3"/>
  <c r="AV4" i="21039" s="1"/>
  <c r="AX3" i="3"/>
  <c r="AW4" i="21039" s="1"/>
  <c r="AY3" i="3"/>
  <c r="AX4" i="21039" s="1"/>
  <c r="AZ3" i="3"/>
  <c r="AY4" i="21039" s="1"/>
  <c r="BA3" i="3"/>
  <c r="AZ4" i="21039" s="1"/>
  <c r="BB3" i="3"/>
  <c r="BA4" i="21039" s="1"/>
  <c r="BC3" i="3"/>
  <c r="BB4" i="21039" s="1"/>
  <c r="BD3" i="3"/>
  <c r="BC4" i="21039" s="1"/>
  <c r="BE3" i="3"/>
  <c r="BD4" i="21039" s="1"/>
  <c r="BF3" i="3"/>
  <c r="BE4" i="21039" s="1"/>
  <c r="BG3" i="3"/>
  <c r="BF4" i="21039" s="1"/>
  <c r="BH3" i="3"/>
  <c r="BG4" i="21039" s="1"/>
  <c r="BI3" i="3"/>
  <c r="BH4" i="21039" s="1"/>
  <c r="BJ3" i="3"/>
  <c r="BI4" i="21039" s="1"/>
  <c r="BK3" i="3"/>
  <c r="BJ4" i="21039" s="1"/>
  <c r="BM3" i="3"/>
  <c r="BL4" i="21039" s="1"/>
  <c r="BN3" i="3"/>
  <c r="BM4" i="21039" s="1"/>
  <c r="BO3" i="3"/>
  <c r="BO4" i="21039" s="1"/>
  <c r="D4" i="3"/>
  <c r="C5" i="21039" s="1"/>
  <c r="C51" s="1"/>
  <c r="E4" i="3"/>
  <c r="D5" i="21039" s="1"/>
  <c r="F4" i="3"/>
  <c r="E5" i="21039" s="1"/>
  <c r="G4" i="3"/>
  <c r="F5" i="21039" s="1"/>
  <c r="H4" i="3"/>
  <c r="G5" i="21039" s="1"/>
  <c r="I4" i="3"/>
  <c r="H5" i="21039" s="1"/>
  <c r="J4" i="3"/>
  <c r="I5" i="21039" s="1"/>
  <c r="K4" i="3"/>
  <c r="J5" i="21039" s="1"/>
  <c r="L4" i="3"/>
  <c r="K5" i="21039" s="1"/>
  <c r="M4" i="3"/>
  <c r="L5" i="21039" s="1"/>
  <c r="N4" i="3"/>
  <c r="M5" i="21039" s="1"/>
  <c r="O4" i="3"/>
  <c r="N5" i="21039" s="1"/>
  <c r="P4" i="3"/>
  <c r="O5" i="21039" s="1"/>
  <c r="Q4" i="3"/>
  <c r="P5" i="21039" s="1"/>
  <c r="R4" i="3"/>
  <c r="Q5" i="21039" s="1"/>
  <c r="S4" i="3"/>
  <c r="R5" i="21039" s="1"/>
  <c r="T4" i="3"/>
  <c r="S5" i="21039" s="1"/>
  <c r="BI4" i="3"/>
  <c r="BH5" i="21039" s="1"/>
  <c r="BJ4" i="3"/>
  <c r="BI5" i="21039" s="1"/>
  <c r="BK4" i="3"/>
  <c r="BJ5" i="21039" s="1"/>
  <c r="BL4" i="3"/>
  <c r="BK5" i="21039" s="1"/>
  <c r="BM4" i="3"/>
  <c r="BL5" i="21039" s="1"/>
  <c r="BN4" i="3"/>
  <c r="BM5" i="21039" s="1"/>
  <c r="BN5"/>
  <c r="BO4" i="3"/>
  <c r="BO5" i="21039" s="1"/>
  <c r="BP4" i="3"/>
  <c r="BR5" i="21039" s="1"/>
  <c r="BT5" i="3"/>
  <c r="C56" i="1" s="1"/>
  <c r="BT6" i="3"/>
  <c r="BT8"/>
  <c r="C59" i="1" s="1"/>
  <c r="E59" s="1"/>
  <c r="BT9" i="3"/>
  <c r="C60" i="1" s="1"/>
  <c r="E60" s="1"/>
  <c r="G60" s="1"/>
  <c r="BT10" i="3"/>
  <c r="C61" i="1" s="1"/>
  <c r="E61" s="1"/>
  <c r="G61" s="1"/>
  <c r="BT11" i="3"/>
  <c r="C62" i="1" s="1"/>
  <c r="E62" s="1"/>
  <c r="G62" s="1"/>
  <c r="BT13" i="3"/>
  <c r="C64" i="1" s="1"/>
  <c r="E64" s="1"/>
  <c r="G64" s="1"/>
  <c r="BT14" i="3"/>
  <c r="C65" i="1" s="1"/>
  <c r="E65" s="1"/>
  <c r="G65" s="1"/>
  <c r="BT15" i="3"/>
  <c r="C66" i="1" s="1"/>
  <c r="E66" s="1"/>
  <c r="G66" s="1"/>
  <c r="BT16" i="3"/>
  <c r="BT17"/>
  <c r="C68" i="1" s="1"/>
  <c r="E68" s="1"/>
  <c r="G68" s="1"/>
  <c r="BT18" i="3"/>
  <c r="C69" i="1" s="1"/>
  <c r="E69" s="1"/>
  <c r="BT19" i="3"/>
  <c r="C70" i="1" s="1"/>
  <c r="E70" s="1"/>
  <c r="BT20" i="3"/>
  <c r="E71" i="1" s="1"/>
  <c r="G71" s="1"/>
  <c r="BT21" i="3"/>
  <c r="C72" i="1" s="1"/>
  <c r="E72" s="1"/>
  <c r="G72" s="1"/>
  <c r="BT22" i="3"/>
  <c r="BT23"/>
  <c r="C74" i="1" s="1"/>
  <c r="E74" s="1"/>
  <c r="BT24" i="3"/>
  <c r="C75" i="1" s="1"/>
  <c r="E75" s="1"/>
  <c r="BT27" i="3"/>
  <c r="BT28"/>
  <c r="C79" i="1" s="1"/>
  <c r="E79" s="1"/>
  <c r="BT29" i="3"/>
  <c r="C80" i="1" s="1"/>
  <c r="E80" s="1"/>
  <c r="BT30" i="3"/>
  <c r="C81" i="1" s="1"/>
  <c r="E81" s="1"/>
  <c r="G81" s="1"/>
  <c r="BT31" i="3"/>
  <c r="C82" i="1" s="1"/>
  <c r="E82" s="1"/>
  <c r="G82" s="1"/>
  <c r="BT32" i="3"/>
  <c r="C83" i="1" s="1"/>
  <c r="E83" s="1"/>
  <c r="G83" s="1"/>
  <c r="BT33" i="3"/>
  <c r="C84" i="1" s="1"/>
  <c r="E84" s="1"/>
  <c r="G84" s="1"/>
  <c r="BT34" i="3"/>
  <c r="C85" i="1" s="1"/>
  <c r="E85" s="1"/>
  <c r="G85" s="1"/>
  <c r="BT35" i="3"/>
  <c r="C86" i="1" s="1"/>
  <c r="E86" s="1"/>
  <c r="G86" s="1"/>
  <c r="BT36" i="3"/>
  <c r="BT37"/>
  <c r="BT38"/>
  <c r="BT40"/>
  <c r="BT41"/>
  <c r="BT42"/>
  <c r="BT43"/>
  <c r="G97" i="1"/>
  <c r="G98"/>
  <c r="G100"/>
  <c r="BT44" i="3"/>
  <c r="B45"/>
  <c r="BT45"/>
  <c r="B46"/>
  <c r="BT46"/>
  <c r="B47"/>
  <c r="BT47"/>
  <c r="B48"/>
  <c r="BT48"/>
  <c r="B49"/>
  <c r="BT49"/>
  <c r="B50"/>
  <c r="BT50"/>
  <c r="B51"/>
  <c r="BT51"/>
  <c r="B52"/>
  <c r="BT52"/>
  <c r="B53"/>
  <c r="BT53"/>
  <c r="B54"/>
  <c r="BT54"/>
  <c r="BF55"/>
  <c r="BG55"/>
  <c r="BH55"/>
  <c r="BI55"/>
  <c r="BJ55"/>
  <c r="BK55"/>
  <c r="BL55"/>
  <c r="BM55"/>
  <c r="BN55"/>
  <c r="BO55"/>
  <c r="BP55"/>
  <c r="AI58"/>
  <c r="BC58"/>
  <c r="A1" i="21039"/>
  <c r="BQ4"/>
  <c r="BQ50" s="1"/>
  <c r="BQ5"/>
  <c r="BQ44" s="1"/>
  <c r="W41"/>
  <c r="Z41"/>
  <c r="AB41"/>
  <c r="AC41"/>
  <c r="AC82"/>
  <c r="K60" i="2" s="1"/>
  <c r="K61" s="1"/>
  <c r="AF82" i="21039"/>
  <c r="N60" i="2" s="1"/>
  <c r="N61" s="1"/>
  <c r="AG41" i="21039"/>
  <c r="AG82"/>
  <c r="AH41"/>
  <c r="AH82"/>
  <c r="P60" i="2" s="1"/>
  <c r="P61" s="1"/>
  <c r="AI41" i="21039"/>
  <c r="AJ41"/>
  <c r="AJ82"/>
  <c r="R60" i="2" s="1"/>
  <c r="R61" s="1"/>
  <c r="AK41" i="21039"/>
  <c r="AK82"/>
  <c r="S60" i="2" s="1"/>
  <c r="S61" s="1"/>
  <c r="AL41" i="21039"/>
  <c r="AM41"/>
  <c r="AM82"/>
  <c r="C97" i="2" s="1"/>
  <c r="C98" s="1"/>
  <c r="AN82" i="21039"/>
  <c r="AO82"/>
  <c r="E97" i="2" s="1"/>
  <c r="E98" s="1"/>
  <c r="AP41" i="21039"/>
  <c r="AQ41"/>
  <c r="AR82"/>
  <c r="H97" i="2" s="1"/>
  <c r="H98" s="1"/>
  <c r="AS82" i="21039"/>
  <c r="AT41"/>
  <c r="AV41"/>
  <c r="AV82"/>
  <c r="L97" i="2" s="1"/>
  <c r="L98" s="1"/>
  <c r="AW82" i="21039"/>
  <c r="M97" i="2" s="1"/>
  <c r="M98" s="1"/>
  <c r="AZ82" i="21039"/>
  <c r="P97" i="2" s="1"/>
  <c r="BA82" i="21039"/>
  <c r="Q97" i="2" s="1"/>
  <c r="Q98" s="1"/>
  <c r="BC41" i="21039"/>
  <c r="BE41"/>
  <c r="BE82"/>
  <c r="BF41"/>
  <c r="BG41"/>
  <c r="BH41"/>
  <c r="BH82"/>
  <c r="BI41"/>
  <c r="BI82"/>
  <c r="BJ41"/>
  <c r="BK41"/>
  <c r="BL41"/>
  <c r="BL82"/>
  <c r="BM41"/>
  <c r="BM82"/>
  <c r="BN41"/>
  <c r="BO41"/>
  <c r="BP41"/>
  <c r="BP82"/>
  <c r="BQ41"/>
  <c r="BQ82"/>
  <c r="BR41"/>
  <c r="BR43"/>
  <c r="BR44"/>
  <c r="BT45"/>
  <c r="BT46"/>
  <c r="BT47"/>
  <c r="B48"/>
  <c r="C48"/>
  <c r="D48"/>
  <c r="E48"/>
  <c r="E28" i="2" s="1"/>
  <c r="F48" i="21039"/>
  <c r="G48"/>
  <c r="G28" i="2" s="1"/>
  <c r="H48" i="21039"/>
  <c r="I48"/>
  <c r="I28" i="2" s="1"/>
  <c r="J48" i="21039"/>
  <c r="K48"/>
  <c r="L48"/>
  <c r="M48"/>
  <c r="N48"/>
  <c r="N28" i="2" s="1"/>
  <c r="O48" i="21039"/>
  <c r="P48"/>
  <c r="Q48"/>
  <c r="R48"/>
  <c r="S48"/>
  <c r="T48"/>
  <c r="U48"/>
  <c r="V48"/>
  <c r="W48"/>
  <c r="W82"/>
  <c r="E60" i="2" s="1"/>
  <c r="E61" s="1"/>
  <c r="X48" i="21039"/>
  <c r="Y48"/>
  <c r="Z48"/>
  <c r="H65" i="2" s="1"/>
  <c r="AA48" i="21039"/>
  <c r="AB48"/>
  <c r="AC48"/>
  <c r="AD48"/>
  <c r="AE48"/>
  <c r="AF48"/>
  <c r="AG48"/>
  <c r="AH48"/>
  <c r="AI48"/>
  <c r="AI82"/>
  <c r="Q60" i="2" s="1"/>
  <c r="Q61" s="1"/>
  <c r="AJ48" i="21039"/>
  <c r="AK48"/>
  <c r="AL48"/>
  <c r="AM48"/>
  <c r="AN48"/>
  <c r="AO48"/>
  <c r="AP48"/>
  <c r="AQ48"/>
  <c r="AQ82"/>
  <c r="G97" i="2" s="1"/>
  <c r="G98" s="1"/>
  <c r="AR48" i="21039"/>
  <c r="H102" i="2" s="1"/>
  <c r="AS48" i="21039"/>
  <c r="AT48"/>
  <c r="AU48"/>
  <c r="AU82"/>
  <c r="K97" i="2" s="1"/>
  <c r="K98" s="1"/>
  <c r="AV48" i="21039"/>
  <c r="AW48"/>
  <c r="AX48"/>
  <c r="AY48"/>
  <c r="AY82"/>
  <c r="O97" i="2" s="1"/>
  <c r="O98" s="1"/>
  <c r="AZ48" i="21039"/>
  <c r="BA48"/>
  <c r="BB48"/>
  <c r="R102" i="2" s="1"/>
  <c r="BC48" i="21039"/>
  <c r="BC82"/>
  <c r="BD48"/>
  <c r="BE48"/>
  <c r="BF48"/>
  <c r="BG48"/>
  <c r="BG82"/>
  <c r="BH48"/>
  <c r="BI48"/>
  <c r="BJ48"/>
  <c r="BK48"/>
  <c r="BK82"/>
  <c r="BL48"/>
  <c r="BM48"/>
  <c r="BN48"/>
  <c r="BO48"/>
  <c r="BO82"/>
  <c r="BP48"/>
  <c r="BQ48"/>
  <c r="BR48"/>
  <c r="BR50"/>
  <c r="BR51"/>
  <c r="BT52"/>
  <c r="BT53"/>
  <c r="BT54"/>
  <c r="BT55"/>
  <c r="BT56"/>
  <c r="BT57"/>
  <c r="BT58"/>
  <c r="B59"/>
  <c r="B29" i="2" s="1"/>
  <c r="C59" i="21039"/>
  <c r="D59"/>
  <c r="D29" i="2" s="1"/>
  <c r="E59" i="21039"/>
  <c r="E29" i="2" s="1"/>
  <c r="F59" i="21039"/>
  <c r="F29" i="2" s="1"/>
  <c r="G59" i="21039"/>
  <c r="G29" i="2" s="1"/>
  <c r="H59" i="21039"/>
  <c r="H29" i="2" s="1"/>
  <c r="I59" i="21039"/>
  <c r="I29" i="2" s="1"/>
  <c r="J59" i="21039"/>
  <c r="J29" i="2" s="1"/>
  <c r="K59" i="21039"/>
  <c r="K29" i="2" s="1"/>
  <c r="L59" i="21039"/>
  <c r="L29" i="2" s="1"/>
  <c r="M59" i="21039"/>
  <c r="M29" i="2" s="1"/>
  <c r="N59" i="21039"/>
  <c r="N29" i="2"/>
  <c r="O59" i="21039"/>
  <c r="O29" i="2" s="1"/>
  <c r="P59" i="21039"/>
  <c r="P29" i="2" s="1"/>
  <c r="Q59" i="21039"/>
  <c r="Q29" i="2" s="1"/>
  <c r="R59" i="21039"/>
  <c r="R29" i="2" s="1"/>
  <c r="S59" i="21039"/>
  <c r="S29" i="2" s="1"/>
  <c r="T59" i="21039"/>
  <c r="B66" i="2" s="1"/>
  <c r="U59" i="21039"/>
  <c r="C66" i="2" s="1"/>
  <c r="V59" i="21039"/>
  <c r="D66" i="2" s="1"/>
  <c r="W59" i="21039"/>
  <c r="E66" i="2" s="1"/>
  <c r="X59" i="21039"/>
  <c r="Y59"/>
  <c r="Z59"/>
  <c r="H66" i="2" s="1"/>
  <c r="AA59" i="21039"/>
  <c r="AA85" s="1"/>
  <c r="AB59"/>
  <c r="J66" i="2" s="1"/>
  <c r="AC59" i="21039"/>
  <c r="K66" i="2" s="1"/>
  <c r="AD59" i="21039"/>
  <c r="L66" i="2" s="1"/>
  <c r="AE59" i="21039"/>
  <c r="M66" i="2" s="1"/>
  <c r="AF59" i="21039"/>
  <c r="N66" i="2" s="1"/>
  <c r="AG59" i="21039"/>
  <c r="O66" i="2"/>
  <c r="AH59" i="21039"/>
  <c r="AH85" s="1"/>
  <c r="AI59"/>
  <c r="Q66" i="2" s="1"/>
  <c r="AJ59" i="21039"/>
  <c r="R66" i="2" s="1"/>
  <c r="AK59" i="21039"/>
  <c r="S66" i="2"/>
  <c r="AL59" i="21039"/>
  <c r="AM59"/>
  <c r="C103" i="2" s="1"/>
  <c r="AN59" i="21039"/>
  <c r="D103" i="2" s="1"/>
  <c r="AO59" i="21039"/>
  <c r="E103" i="2" s="1"/>
  <c r="AP59" i="21039"/>
  <c r="F103" i="2" s="1"/>
  <c r="AQ59" i="21039"/>
  <c r="G103" i="2" s="1"/>
  <c r="AR59" i="21039"/>
  <c r="H103" i="2" s="1"/>
  <c r="AS59" i="21039"/>
  <c r="I103" i="2"/>
  <c r="AT59" i="21039"/>
  <c r="AU59"/>
  <c r="K103" i="2" s="1"/>
  <c r="AV59" i="21039"/>
  <c r="L103" i="2" s="1"/>
  <c r="AW59" i="21039"/>
  <c r="M103" i="2" s="1"/>
  <c r="AX59" i="21039"/>
  <c r="N103" i="2" s="1"/>
  <c r="AY59" i="21039"/>
  <c r="O103" i="2" s="1"/>
  <c r="AZ59" i="21039"/>
  <c r="P103" i="2" s="1"/>
  <c r="BA59" i="21039"/>
  <c r="Q103" i="2" s="1"/>
  <c r="BB59" i="21039"/>
  <c r="R103" i="2" s="1"/>
  <c r="BC59" i="21039"/>
  <c r="S103" i="2" s="1"/>
  <c r="BD59" i="21039"/>
  <c r="B140" i="2" s="1"/>
  <c r="BE59" i="21039"/>
  <c r="BE85" s="1"/>
  <c r="BF59"/>
  <c r="BG59"/>
  <c r="BH59"/>
  <c r="BI59"/>
  <c r="BJ59"/>
  <c r="BK59"/>
  <c r="BL59"/>
  <c r="BM59"/>
  <c r="BN59"/>
  <c r="BO59"/>
  <c r="BP59"/>
  <c r="BQ59"/>
  <c r="BR59"/>
  <c r="Z82"/>
  <c r="H60" i="2" s="1"/>
  <c r="H61" s="1"/>
  <c r="AB82" i="21039"/>
  <c r="AL82"/>
  <c r="AP82"/>
  <c r="F97" i="2" s="1"/>
  <c r="F98" s="1"/>
  <c r="AT82" i="21039"/>
  <c r="J97" i="2" s="1"/>
  <c r="J98" s="1"/>
  <c r="AX82" i="21039"/>
  <c r="N97" i="2" s="1"/>
  <c r="BB82" i="21039"/>
  <c r="R97" i="2" s="1"/>
  <c r="R98" s="1"/>
  <c r="BF82" i="21039"/>
  <c r="BJ82"/>
  <c r="BN82"/>
  <c r="BR82"/>
  <c r="A1" i="40"/>
  <c r="A5"/>
  <c r="K16"/>
  <c r="B28" i="1" s="1"/>
  <c r="K17" i="40"/>
  <c r="B31" i="1" s="1"/>
  <c r="I22" s="1"/>
  <c r="C18" i="40"/>
  <c r="C20" s="1"/>
  <c r="D18"/>
  <c r="D20" s="1"/>
  <c r="E18"/>
  <c r="E19" s="1"/>
  <c r="E20" s="1"/>
  <c r="F18"/>
  <c r="F19" s="1"/>
  <c r="F20" s="1"/>
  <c r="G18"/>
  <c r="G19" s="1"/>
  <c r="G20" s="1"/>
  <c r="H18"/>
  <c r="H19" s="1"/>
  <c r="H20" s="1"/>
  <c r="I18"/>
  <c r="I19" s="1"/>
  <c r="I20" s="1"/>
  <c r="J20"/>
  <c r="C49"/>
  <c r="I51"/>
  <c r="G55"/>
  <c r="I55"/>
  <c r="G56"/>
  <c r="B57"/>
  <c r="B58" s="1"/>
  <c r="B59" s="1"/>
  <c r="C57"/>
  <c r="C58" s="1"/>
  <c r="C59" s="1"/>
  <c r="D57"/>
  <c r="D58" s="1"/>
  <c r="D59" s="1"/>
  <c r="E57"/>
  <c r="E58" s="1"/>
  <c r="E59" s="1"/>
  <c r="F57"/>
  <c r="F58" s="1"/>
  <c r="F59" s="1"/>
  <c r="H57"/>
  <c r="G73"/>
  <c r="I74"/>
  <c r="G75"/>
  <c r="G76"/>
  <c r="H76" s="1"/>
  <c r="I76" s="1"/>
  <c r="G77"/>
  <c r="H77" s="1"/>
  <c r="I77" s="1"/>
  <c r="G78"/>
  <c r="H78" s="1"/>
  <c r="I78" s="1"/>
  <c r="G79"/>
  <c r="H79" s="1"/>
  <c r="I79" s="1"/>
  <c r="C80"/>
  <c r="C81" s="1"/>
  <c r="C82" s="1"/>
  <c r="D80"/>
  <c r="D81" s="1"/>
  <c r="D82" s="1"/>
  <c r="E80"/>
  <c r="E81" s="1"/>
  <c r="E82" s="1"/>
  <c r="F80"/>
  <c r="F81" s="1"/>
  <c r="F82" s="1"/>
  <c r="A4" i="1"/>
  <c r="A5"/>
  <c r="G7"/>
  <c r="A8"/>
  <c r="G8"/>
  <c r="G9"/>
  <c r="I11"/>
  <c r="L11"/>
  <c r="C5" i="21040"/>
  <c r="D26" i="1"/>
  <c r="D27"/>
  <c r="Q27"/>
  <c r="D28"/>
  <c r="I26"/>
  <c r="K26" s="1"/>
  <c r="D29"/>
  <c r="I29"/>
  <c r="K29" s="1"/>
  <c r="D32"/>
  <c r="K44"/>
  <c r="L44" s="1"/>
  <c r="D48"/>
  <c r="D50"/>
  <c r="C57"/>
  <c r="E57" s="1"/>
  <c r="L58"/>
  <c r="L67" s="1"/>
  <c r="H60"/>
  <c r="H61"/>
  <c r="H62"/>
  <c r="H63"/>
  <c r="H64"/>
  <c r="H65"/>
  <c r="W64"/>
  <c r="X64"/>
  <c r="Y64"/>
  <c r="H66"/>
  <c r="W65"/>
  <c r="X65"/>
  <c r="Y65"/>
  <c r="H68"/>
  <c r="G102"/>
  <c r="G103"/>
  <c r="G104"/>
  <c r="G105"/>
  <c r="G106"/>
  <c r="B18" i="2"/>
  <c r="C18"/>
  <c r="D18"/>
  <c r="E18"/>
  <c r="F18"/>
  <c r="G18"/>
  <c r="H18"/>
  <c r="I18"/>
  <c r="T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B37"/>
  <c r="C37"/>
  <c r="E37"/>
  <c r="E38"/>
  <c r="F37"/>
  <c r="G37"/>
  <c r="H37"/>
  <c r="H38"/>
  <c r="I37"/>
  <c r="J37"/>
  <c r="K37"/>
  <c r="L37"/>
  <c r="M37"/>
  <c r="N37"/>
  <c r="N38"/>
  <c r="O37"/>
  <c r="P37"/>
  <c r="Q37"/>
  <c r="Q38"/>
  <c r="R37"/>
  <c r="S37"/>
  <c r="B38"/>
  <c r="D38"/>
  <c r="F38"/>
  <c r="G38"/>
  <c r="I38"/>
  <c r="J38"/>
  <c r="K38"/>
  <c r="M38"/>
  <c r="O38"/>
  <c r="P38"/>
  <c r="R38"/>
  <c r="S38"/>
  <c r="B55"/>
  <c r="C55"/>
  <c r="D55"/>
  <c r="E55"/>
  <c r="H55"/>
  <c r="J55"/>
  <c r="K55"/>
  <c r="N55"/>
  <c r="O55"/>
  <c r="P55"/>
  <c r="Q55"/>
  <c r="S55"/>
  <c r="T72"/>
  <c r="U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B74"/>
  <c r="C74"/>
  <c r="C75"/>
  <c r="D74"/>
  <c r="E74"/>
  <c r="F74"/>
  <c r="G74"/>
  <c r="G75"/>
  <c r="H74"/>
  <c r="I74"/>
  <c r="J74"/>
  <c r="J75"/>
  <c r="K74"/>
  <c r="L74"/>
  <c r="M74"/>
  <c r="M75"/>
  <c r="N74"/>
  <c r="N75"/>
  <c r="O74"/>
  <c r="P74"/>
  <c r="Q74"/>
  <c r="Q75"/>
  <c r="R74"/>
  <c r="S74"/>
  <c r="S75"/>
  <c r="B75"/>
  <c r="D75"/>
  <c r="E75"/>
  <c r="F75"/>
  <c r="H75"/>
  <c r="I75"/>
  <c r="K75"/>
  <c r="L75"/>
  <c r="O75"/>
  <c r="P75"/>
  <c r="R75"/>
  <c r="C92"/>
  <c r="F92"/>
  <c r="G92"/>
  <c r="J92"/>
  <c r="L92"/>
  <c r="S92"/>
  <c r="B98"/>
  <c r="T109"/>
  <c r="U109"/>
  <c r="B110"/>
  <c r="C110"/>
  <c r="D110"/>
  <c r="H110"/>
  <c r="J110"/>
  <c r="K110"/>
  <c r="N110"/>
  <c r="O110"/>
  <c r="P110"/>
  <c r="Q110"/>
  <c r="R110"/>
  <c r="S110"/>
  <c r="B111"/>
  <c r="C111"/>
  <c r="D111"/>
  <c r="B112"/>
  <c r="C112"/>
  <c r="D112"/>
  <c r="BL3" i="3"/>
  <c r="BK4" i="21039" s="1"/>
  <c r="N147" i="2"/>
  <c r="R149"/>
  <c r="U118"/>
  <c r="C17" i="1" s="1"/>
  <c r="P14" s="1"/>
  <c r="U119" i="2"/>
  <c r="C18" i="1" s="1"/>
  <c r="U126" i="2"/>
  <c r="B25" i="1" s="1"/>
  <c r="U127" i="2"/>
  <c r="B26" i="1" s="1"/>
  <c r="B129" i="2"/>
  <c r="C129"/>
  <c r="D129"/>
  <c r="E129"/>
  <c r="U131"/>
  <c r="B37" i="1" s="1"/>
  <c r="U132" i="2"/>
  <c r="B38" i="1" s="1"/>
  <c r="U133" i="2"/>
  <c r="B39" i="1" s="1"/>
  <c r="C135" i="2"/>
  <c r="D135"/>
  <c r="E135"/>
  <c r="U136"/>
  <c r="B42" i="1" s="1"/>
  <c r="B43" s="1"/>
  <c r="B147" i="2"/>
  <c r="C147"/>
  <c r="D147"/>
  <c r="E147"/>
  <c r="F147"/>
  <c r="H147"/>
  <c r="I147"/>
  <c r="J147"/>
  <c r="J148"/>
  <c r="J149"/>
  <c r="M147"/>
  <c r="M148"/>
  <c r="M149"/>
  <c r="B148"/>
  <c r="F148"/>
  <c r="H148"/>
  <c r="I148"/>
  <c r="N148"/>
  <c r="B149"/>
  <c r="F149"/>
  <c r="H149"/>
  <c r="I149"/>
  <c r="S152"/>
  <c r="S153"/>
  <c r="Q147"/>
  <c r="R147"/>
  <c r="Q148"/>
  <c r="N149"/>
  <c r="Q149"/>
  <c r="O148"/>
  <c r="O149"/>
  <c r="O147"/>
  <c r="S149"/>
  <c r="S148"/>
  <c r="S147"/>
  <c r="R148"/>
  <c r="BN43" i="21039"/>
  <c r="BN50"/>
  <c r="L38" i="2"/>
  <c r="W58" i="3"/>
  <c r="J60" i="2"/>
  <c r="J61" s="1"/>
  <c r="AX85" i="21039"/>
  <c r="N102" i="2"/>
  <c r="BD58" i="3"/>
  <c r="AQ58"/>
  <c r="J58"/>
  <c r="X58"/>
  <c r="K58"/>
  <c r="G65" i="2"/>
  <c r="E65"/>
  <c r="G59" i="40"/>
  <c r="K31" i="1"/>
  <c r="R55" i="2"/>
  <c r="D102"/>
  <c r="O60"/>
  <c r="O61" s="1"/>
  <c r="G60"/>
  <c r="G61" s="1"/>
  <c r="L60"/>
  <c r="L61" s="1"/>
  <c r="G23"/>
  <c r="Y85" i="21039"/>
  <c r="BG85"/>
  <c r="G58" i="3"/>
  <c r="AC85" i="21039"/>
  <c r="I57" i="40"/>
  <c r="T17" i="1" s="1"/>
  <c r="BM85" i="21039"/>
  <c r="BJ85"/>
  <c r="H23" i="2"/>
  <c r="H24" s="1"/>
  <c r="B102"/>
  <c r="AJ58" i="3"/>
  <c r="M58"/>
  <c r="K65" i="2"/>
  <c r="E27"/>
  <c r="G66"/>
  <c r="K102"/>
  <c r="C4" i="3"/>
  <c r="B5" i="21039" s="1"/>
  <c r="B5" i="3"/>
  <c r="J103" i="2"/>
  <c r="H12" i="40"/>
  <c r="H13" s="1"/>
  <c r="G12"/>
  <c r="G13" s="1"/>
  <c r="D12"/>
  <c r="D13" s="1"/>
  <c r="BT48" i="21039"/>
  <c r="B48" i="1" s="1"/>
  <c r="I43" s="1"/>
  <c r="BD85" i="21039"/>
  <c r="AM85"/>
  <c r="AB85"/>
  <c r="I12" i="40"/>
  <c r="I13" s="1"/>
  <c r="S64" i="2"/>
  <c r="H85" i="21039"/>
  <c r="Q101" i="2"/>
  <c r="L65"/>
  <c r="E12" i="40"/>
  <c r="E13" s="1"/>
  <c r="BF85" i="21039"/>
  <c r="Z85"/>
  <c r="G85"/>
  <c r="BT59"/>
  <c r="M85"/>
  <c r="Q58" i="3"/>
  <c r="AA8" i="3356"/>
  <c r="J28" i="2"/>
  <c r="AR85" i="21039"/>
  <c r="AQ85"/>
  <c r="H101" i="2"/>
  <c r="F66"/>
  <c r="C29"/>
  <c r="C102"/>
  <c r="J64"/>
  <c r="D65"/>
  <c r="K28"/>
  <c r="AK85" i="21039"/>
  <c r="BA85"/>
  <c r="L85"/>
  <c r="AS85"/>
  <c r="L28" i="2"/>
  <c r="AE85" i="21039"/>
  <c r="J85"/>
  <c r="F85"/>
  <c r="AW58" i="3"/>
  <c r="AO58"/>
  <c r="F28" i="2"/>
  <c r="C78" i="1"/>
  <c r="E78" s="1"/>
  <c r="C67"/>
  <c r="E67" s="1"/>
  <c r="C87"/>
  <c r="E87" s="1"/>
  <c r="G87" s="1"/>
  <c r="C73"/>
  <c r="E73" s="1"/>
  <c r="BQ51" i="21039"/>
  <c r="T57" i="1"/>
  <c r="BL85" i="21039"/>
  <c r="BI85"/>
  <c r="AG85"/>
  <c r="R85"/>
  <c r="I23" i="2"/>
  <c r="I24" s="1"/>
  <c r="I97"/>
  <c r="I98" s="1"/>
  <c r="B60"/>
  <c r="B61" s="1"/>
  <c r="D23"/>
  <c r="D24" s="1"/>
  <c r="S97"/>
  <c r="S98" s="1"/>
  <c r="S65" i="1"/>
  <c r="N65"/>
  <c r="T95"/>
  <c r="N96"/>
  <c r="S64"/>
  <c r="N64"/>
  <c r="T96"/>
  <c r="N95"/>
  <c r="T85"/>
  <c r="T73"/>
  <c r="T76"/>
  <c r="T77"/>
  <c r="T86"/>
  <c r="T87"/>
  <c r="T94"/>
  <c r="N94"/>
  <c r="T100"/>
  <c r="S91"/>
  <c r="H75" i="40" l="1"/>
  <c r="BC85" i="21039"/>
  <c r="AP85"/>
  <c r="AI85"/>
  <c r="W85"/>
  <c r="BB85"/>
  <c r="AZ85"/>
  <c r="AW85"/>
  <c r="B85"/>
  <c r="D85"/>
  <c r="AF85"/>
  <c r="B28" i="2"/>
  <c r="N65"/>
  <c r="P102"/>
  <c r="X85" i="21039"/>
  <c r="B139" i="2"/>
  <c r="I102"/>
  <c r="F102"/>
  <c r="Q65"/>
  <c r="O65"/>
  <c r="J65"/>
  <c r="D28"/>
  <c r="AV85" i="21039"/>
  <c r="H28" i="2"/>
  <c r="P28"/>
  <c r="R28"/>
  <c r="S102"/>
  <c r="P65"/>
  <c r="M102"/>
  <c r="O28"/>
  <c r="Q28"/>
  <c r="S28"/>
  <c r="S58" i="3"/>
  <c r="R27" i="2"/>
  <c r="R58" i="3"/>
  <c r="Q27" i="2"/>
  <c r="Q31" s="1"/>
  <c r="S31"/>
  <c r="S32"/>
  <c r="S19" s="1"/>
  <c r="O31"/>
  <c r="O32"/>
  <c r="O19" s="1"/>
  <c r="P31"/>
  <c r="P32"/>
  <c r="Q32"/>
  <c r="R32"/>
  <c r="R19" s="1"/>
  <c r="R31"/>
  <c r="T98" i="1"/>
  <c r="G57" i="40"/>
  <c r="T93" i="1"/>
  <c r="T72"/>
  <c r="T84"/>
  <c r="T75"/>
  <c r="G79"/>
  <c r="G69"/>
  <c r="J48"/>
  <c r="G78"/>
  <c r="G74"/>
  <c r="G59"/>
  <c r="G58"/>
  <c r="T63"/>
  <c r="AD85" i="21039"/>
  <c r="V85"/>
  <c r="AN85"/>
  <c r="D97" i="2"/>
  <c r="D98" s="1"/>
  <c r="AU85" i="21039"/>
  <c r="Q85"/>
  <c r="L16" i="1"/>
  <c r="E5" i="21040" s="1"/>
  <c r="M150" i="2"/>
  <c r="N150"/>
  <c r="H80" i="40"/>
  <c r="R18" i="1" s="1"/>
  <c r="I75" i="40"/>
  <c r="BT82" i="21039"/>
  <c r="P85"/>
  <c r="P76" i="2"/>
  <c r="S39"/>
  <c r="M76"/>
  <c r="M39"/>
  <c r="E142"/>
  <c r="D142"/>
  <c r="K113"/>
  <c r="K100" s="1"/>
  <c r="P39"/>
  <c r="N85" i="21039"/>
  <c r="E85"/>
  <c r="D76" i="2"/>
  <c r="F39"/>
  <c r="BP85" i="21039"/>
  <c r="C65" i="2"/>
  <c r="G71" i="3356"/>
  <c r="G72" s="1"/>
  <c r="G73" s="1"/>
  <c r="K82" i="40"/>
  <c r="D71" i="3356"/>
  <c r="D72" s="1"/>
  <c r="D73" s="1"/>
  <c r="F71"/>
  <c r="F72" s="1"/>
  <c r="F73" s="1"/>
  <c r="B65" i="2"/>
  <c r="B68" s="1"/>
  <c r="G113"/>
  <c r="G100" s="1"/>
  <c r="L113"/>
  <c r="L100" s="1"/>
  <c r="P113"/>
  <c r="R113"/>
  <c r="R100" s="1"/>
  <c r="U129"/>
  <c r="Q30" i="1"/>
  <c r="E39" i="2"/>
  <c r="L39"/>
  <c r="T85" i="21039"/>
  <c r="D113" i="2"/>
  <c r="D100" s="1"/>
  <c r="K39"/>
  <c r="BT58" i="3"/>
  <c r="R39" i="2"/>
  <c r="B113"/>
  <c r="S76"/>
  <c r="F113"/>
  <c r="F100" s="1"/>
  <c r="I85" i="21039"/>
  <c r="I39" i="2"/>
  <c r="N76"/>
  <c r="I113"/>
  <c r="I100" s="1"/>
  <c r="B39"/>
  <c r="J102"/>
  <c r="C71" i="3356"/>
  <c r="C72" s="1"/>
  <c r="C73" s="1"/>
  <c r="K18" i="40"/>
  <c r="C12"/>
  <c r="C13" s="1"/>
  <c r="BQ85" i="21039"/>
  <c r="L102" i="2"/>
  <c r="G102"/>
  <c r="S65"/>
  <c r="S68" s="1"/>
  <c r="BT41" i="21039"/>
  <c r="B46" i="1" s="1"/>
  <c r="I66" i="2"/>
  <c r="C85" i="21039"/>
  <c r="AJ85"/>
  <c r="Q39" i="2"/>
  <c r="N39"/>
  <c r="BO85" i="21039"/>
  <c r="BK85"/>
  <c r="BH85"/>
  <c r="K85"/>
  <c r="M113" i="2"/>
  <c r="M100" s="1"/>
  <c r="M106" s="1"/>
  <c r="BO58" i="3"/>
  <c r="BO65" s="1"/>
  <c r="BN58"/>
  <c r="BN65" s="1"/>
  <c r="BL58"/>
  <c r="BL65" s="1"/>
  <c r="BJ58"/>
  <c r="BJ65" s="1"/>
  <c r="BH58"/>
  <c r="BH65" s="1"/>
  <c r="BF58"/>
  <c r="BF65" s="1"/>
  <c r="B138" i="2"/>
  <c r="B143" s="1"/>
  <c r="BE65" i="3"/>
  <c r="R101" i="2"/>
  <c r="R105" s="1"/>
  <c r="BC65" i="3"/>
  <c r="BA58"/>
  <c r="BA65" s="1"/>
  <c r="N101" i="2"/>
  <c r="AY65" i="3"/>
  <c r="L101" i="2"/>
  <c r="AW65" i="3"/>
  <c r="J101" i="2"/>
  <c r="AU65" i="3"/>
  <c r="AS58"/>
  <c r="AS65" s="1"/>
  <c r="F101" i="2"/>
  <c r="F105" s="1"/>
  <c r="AQ65" i="3"/>
  <c r="D101" i="2"/>
  <c r="D105" s="1"/>
  <c r="AO65" i="3"/>
  <c r="B101" i="2"/>
  <c r="AM65" i="3"/>
  <c r="AK58"/>
  <c r="AK65" s="1"/>
  <c r="P64" i="2"/>
  <c r="AI65" i="3"/>
  <c r="AG58"/>
  <c r="AG65" s="1"/>
  <c r="L64" i="2"/>
  <c r="L68" s="1"/>
  <c r="AE65" i="3"/>
  <c r="AC58"/>
  <c r="AC65" s="1"/>
  <c r="H64" i="2"/>
  <c r="AA65" i="3"/>
  <c r="F64" i="2"/>
  <c r="F69" s="1"/>
  <c r="Y65" i="3"/>
  <c r="D64" i="2"/>
  <c r="W65" i="3"/>
  <c r="U58"/>
  <c r="U65" s="1"/>
  <c r="C27" i="2"/>
  <c r="C31" s="1"/>
  <c r="D65" i="3"/>
  <c r="J27" i="2"/>
  <c r="J32" s="1"/>
  <c r="J19" s="1"/>
  <c r="K65" i="3"/>
  <c r="L27" i="2"/>
  <c r="L31" s="1"/>
  <c r="M65" i="3"/>
  <c r="N27" i="2"/>
  <c r="N31" s="1"/>
  <c r="O65" i="3"/>
  <c r="Q65"/>
  <c r="S65"/>
  <c r="BP58"/>
  <c r="BP65" s="1"/>
  <c r="BM58"/>
  <c r="BM65" s="1"/>
  <c r="BK58"/>
  <c r="BK65" s="1"/>
  <c r="BI58"/>
  <c r="BI65" s="1"/>
  <c r="BG58"/>
  <c r="BG65" s="1"/>
  <c r="S101" i="2"/>
  <c r="S105" s="1"/>
  <c r="BD65" i="3"/>
  <c r="BB58"/>
  <c r="BB65" s="1"/>
  <c r="O101" i="2"/>
  <c r="O105" s="1"/>
  <c r="AZ65" i="3"/>
  <c r="AX58"/>
  <c r="AX65" s="1"/>
  <c r="K101" i="2"/>
  <c r="K105" s="1"/>
  <c r="AV65" i="3"/>
  <c r="I101" i="2"/>
  <c r="I105" s="1"/>
  <c r="AT65" i="3"/>
  <c r="G101" i="2"/>
  <c r="AR65" i="3"/>
  <c r="E101" i="2"/>
  <c r="AP65" i="3"/>
  <c r="AN58"/>
  <c r="AN65" s="1"/>
  <c r="AL58"/>
  <c r="AL65" s="1"/>
  <c r="Q64" i="2"/>
  <c r="AJ65" i="3"/>
  <c r="O64" i="2"/>
  <c r="O68" s="1"/>
  <c r="AH65" i="3"/>
  <c r="M64" i="2"/>
  <c r="M69" s="1"/>
  <c r="AF65" i="3"/>
  <c r="AD58"/>
  <c r="AD65" s="1"/>
  <c r="I64" i="2"/>
  <c r="AB65" i="3"/>
  <c r="G64" i="2"/>
  <c r="Z65" i="3"/>
  <c r="E64" i="2"/>
  <c r="X65" i="3"/>
  <c r="C64" i="2"/>
  <c r="V65" i="3"/>
  <c r="D27" i="2"/>
  <c r="D31" s="1"/>
  <c r="D37" s="1"/>
  <c r="E65" i="3"/>
  <c r="B27" i="2"/>
  <c r="B31" s="1"/>
  <c r="C65" i="3"/>
  <c r="I27" i="2"/>
  <c r="I32" s="1"/>
  <c r="I19" s="1"/>
  <c r="J65" i="3"/>
  <c r="K27" i="2"/>
  <c r="K32" s="1"/>
  <c r="K19" s="1"/>
  <c r="L65" i="3"/>
  <c r="M27" i="2"/>
  <c r="M31" s="1"/>
  <c r="N65" i="3"/>
  <c r="P58"/>
  <c r="P65" s="1"/>
  <c r="R65"/>
  <c r="T58"/>
  <c r="T65" s="1"/>
  <c r="Q76" i="2"/>
  <c r="F58" i="3"/>
  <c r="F65" s="1"/>
  <c r="F27" i="2"/>
  <c r="F32" s="1"/>
  <c r="F19" s="1"/>
  <c r="G65" i="3"/>
  <c r="H58"/>
  <c r="H65" s="1"/>
  <c r="T56" i="1"/>
  <c r="T61"/>
  <c r="T90" s="1"/>
  <c r="H27" i="2"/>
  <c r="H31" s="1"/>
  <c r="I65" i="3"/>
  <c r="I41" i="1"/>
  <c r="K41" s="1"/>
  <c r="P47" s="1"/>
  <c r="L9"/>
  <c r="S150" i="2"/>
  <c r="O150"/>
  <c r="H150"/>
  <c r="J150"/>
  <c r="R150"/>
  <c r="AL85" i="21039"/>
  <c r="BN85"/>
  <c r="AO85"/>
  <c r="AY85"/>
  <c r="S85"/>
  <c r="T58" i="1"/>
  <c r="R76" i="2"/>
  <c r="M105"/>
  <c r="Q150"/>
  <c r="I150"/>
  <c r="F150"/>
  <c r="C150"/>
  <c r="C137" s="1"/>
  <c r="C143" s="1"/>
  <c r="BR4" i="21039"/>
  <c r="I80" i="40"/>
  <c r="T2" i="1"/>
  <c r="G80" i="40"/>
  <c r="E102" i="2"/>
  <c r="E113"/>
  <c r="E100" s="1"/>
  <c r="R65"/>
  <c r="U147"/>
  <c r="O44" i="1" s="1"/>
  <c r="C113" i="2"/>
  <c r="C100" s="1"/>
  <c r="C106" s="1"/>
  <c r="O76"/>
  <c r="I76"/>
  <c r="C76"/>
  <c r="H39"/>
  <c r="B150"/>
  <c r="G76"/>
  <c r="K76"/>
  <c r="H76"/>
  <c r="E76"/>
  <c r="B76"/>
  <c r="B69" s="1"/>
  <c r="J39"/>
  <c r="E31"/>
  <c r="E150"/>
  <c r="E137" s="1"/>
  <c r="E143" s="1"/>
  <c r="D150"/>
  <c r="D137" s="1"/>
  <c r="D143" s="1"/>
  <c r="L76"/>
  <c r="F76"/>
  <c r="BQ43" i="21039"/>
  <c r="J76" i="2"/>
  <c r="J69" s="1"/>
  <c r="O39"/>
  <c r="C142"/>
  <c r="H113"/>
  <c r="H100" s="1"/>
  <c r="H106" s="1"/>
  <c r="J113"/>
  <c r="J100" s="1"/>
  <c r="Q113"/>
  <c r="Q100" s="1"/>
  <c r="Q106" s="1"/>
  <c r="S113"/>
  <c r="S100" s="1"/>
  <c r="N68"/>
  <c r="N113"/>
  <c r="N100" s="1"/>
  <c r="B32" i="1"/>
  <c r="D4" s="1"/>
  <c r="BT55" i="3"/>
  <c r="G27" i="2"/>
  <c r="G31" s="1"/>
  <c r="G39"/>
  <c r="K51" i="21039"/>
  <c r="K44"/>
  <c r="M51"/>
  <c r="M44"/>
  <c r="E51"/>
  <c r="E44"/>
  <c r="BJ43"/>
  <c r="BJ50"/>
  <c r="BH50"/>
  <c r="BH43"/>
  <c r="B44"/>
  <c r="B51"/>
  <c r="E32" i="2"/>
  <c r="E19" s="1"/>
  <c r="B46"/>
  <c r="O35"/>
  <c r="C105"/>
  <c r="C44" i="21039"/>
  <c r="Q105" i="2"/>
  <c r="K68"/>
  <c r="BP5" i="21039"/>
  <c r="U4" i="3"/>
  <c r="T5" i="21039" s="1"/>
  <c r="T51" s="1"/>
  <c r="BL44"/>
  <c r="BL51"/>
  <c r="BH44"/>
  <c r="BH51"/>
  <c r="F51"/>
  <c r="F44"/>
  <c r="BI43"/>
  <c r="BI50"/>
  <c r="D43" i="2"/>
  <c r="D50" s="1"/>
  <c r="V4" i="3"/>
  <c r="U5" i="21039" s="1"/>
  <c r="U44" s="1"/>
  <c r="C46" i="2"/>
  <c r="L58" i="40"/>
  <c r="BM44" i="21039"/>
  <c r="BM51"/>
  <c r="BI44"/>
  <c r="BI51"/>
  <c r="Q51"/>
  <c r="Q44"/>
  <c r="D44"/>
  <c r="D51"/>
  <c r="AA72" i="3356"/>
  <c r="AA6"/>
  <c r="AA41"/>
  <c r="P98" i="2"/>
  <c r="P100"/>
  <c r="BJ51" i="21039"/>
  <c r="BJ44"/>
  <c r="R51"/>
  <c r="R44"/>
  <c r="N44"/>
  <c r="N51"/>
  <c r="BO50"/>
  <c r="BO43"/>
  <c r="K20" i="40"/>
  <c r="K83" s="1"/>
  <c r="F13"/>
  <c r="B24" i="2"/>
  <c r="U134"/>
  <c r="B40" i="1" s="1"/>
  <c r="N98" i="2"/>
  <c r="BK51" i="21039"/>
  <c r="BK44"/>
  <c r="S51"/>
  <c r="S44"/>
  <c r="L44"/>
  <c r="L51"/>
  <c r="BL50"/>
  <c r="BL43"/>
  <c r="Q28" i="1"/>
  <c r="P105" i="2"/>
  <c r="H105"/>
  <c r="AT85" i="21039"/>
  <c r="B103" i="2"/>
  <c r="P66"/>
  <c r="H9" i="3356"/>
  <c r="AA7" s="1"/>
  <c r="I24" i="1"/>
  <c r="K24" s="1"/>
  <c r="L24" s="1"/>
  <c r="O113" i="2"/>
  <c r="O100" s="1"/>
  <c r="J68"/>
  <c r="BK43" i="21039"/>
  <c r="BK50"/>
  <c r="K22" i="1"/>
  <c r="AN50" i="21039"/>
  <c r="AN43"/>
  <c r="AJ43"/>
  <c r="AJ50"/>
  <c r="AH50"/>
  <c r="AH43"/>
  <c r="AF43"/>
  <c r="AF50"/>
  <c r="AD43"/>
  <c r="AD50"/>
  <c r="T50"/>
  <c r="T43"/>
  <c r="R43"/>
  <c r="R50"/>
  <c r="P43"/>
  <c r="P50"/>
  <c r="N43"/>
  <c r="N50"/>
  <c r="J43"/>
  <c r="J50"/>
  <c r="N23" i="1"/>
  <c r="L23"/>
  <c r="K43"/>
  <c r="L43" s="1"/>
  <c r="AM50" i="21039"/>
  <c r="AM43"/>
  <c r="AI43"/>
  <c r="AI50"/>
  <c r="AG43"/>
  <c r="AG50"/>
  <c r="AE50"/>
  <c r="AE43"/>
  <c r="AC50"/>
  <c r="AC43"/>
  <c r="S43"/>
  <c r="S50"/>
  <c r="Q50"/>
  <c r="Q43"/>
  <c r="O43"/>
  <c r="O50"/>
  <c r="K50"/>
  <c r="K43"/>
  <c r="K40" i="1"/>
  <c r="L40" s="1"/>
  <c r="N69" i="2"/>
  <c r="N105"/>
  <c r="BN51" i="21039"/>
  <c r="BN44"/>
  <c r="O44"/>
  <c r="O51"/>
  <c r="I51"/>
  <c r="I44"/>
  <c r="G44"/>
  <c r="G51"/>
  <c r="BM43"/>
  <c r="BM50"/>
  <c r="BF43"/>
  <c r="BF50"/>
  <c r="BD43"/>
  <c r="BD50"/>
  <c r="BB50"/>
  <c r="BB43"/>
  <c r="AZ43"/>
  <c r="AZ50"/>
  <c r="AX43"/>
  <c r="AX50"/>
  <c r="AV43"/>
  <c r="AV50"/>
  <c r="AT50"/>
  <c r="AT43"/>
  <c r="AR43"/>
  <c r="AR50"/>
  <c r="AP43"/>
  <c r="AP50"/>
  <c r="AL50"/>
  <c r="AL43"/>
  <c r="AB43"/>
  <c r="AB50"/>
  <c r="Z50"/>
  <c r="Z43"/>
  <c r="X43"/>
  <c r="X50"/>
  <c r="V50"/>
  <c r="V43"/>
  <c r="M50"/>
  <c r="M43"/>
  <c r="I50"/>
  <c r="I43"/>
  <c r="G43"/>
  <c r="G50"/>
  <c r="E43"/>
  <c r="E50"/>
  <c r="C43"/>
  <c r="C50"/>
  <c r="T59" i="1"/>
  <c r="E56"/>
  <c r="C96"/>
  <c r="BO44" i="21039"/>
  <c r="BO51"/>
  <c r="P44"/>
  <c r="P51"/>
  <c r="J51"/>
  <c r="J44"/>
  <c r="H51"/>
  <c r="H44"/>
  <c r="BG50"/>
  <c r="BG43"/>
  <c r="BE43"/>
  <c r="BE50"/>
  <c r="BC43"/>
  <c r="BC50"/>
  <c r="BA50"/>
  <c r="BA43"/>
  <c r="AY43"/>
  <c r="AY50"/>
  <c r="AW50"/>
  <c r="AW43"/>
  <c r="AU43"/>
  <c r="AU50"/>
  <c r="AS50"/>
  <c r="AS43"/>
  <c r="AQ50"/>
  <c r="AQ43"/>
  <c r="AO43"/>
  <c r="AO50"/>
  <c r="AK43"/>
  <c r="AK50"/>
  <c r="AA50"/>
  <c r="AA43"/>
  <c r="Y50"/>
  <c r="Y43"/>
  <c r="W43"/>
  <c r="W50"/>
  <c r="U50"/>
  <c r="U43"/>
  <c r="L50"/>
  <c r="L43"/>
  <c r="H43"/>
  <c r="H50"/>
  <c r="F43"/>
  <c r="F50"/>
  <c r="D43"/>
  <c r="D50"/>
  <c r="B50"/>
  <c r="B43"/>
  <c r="BP43"/>
  <c r="BP50"/>
  <c r="K69" i="2"/>
  <c r="F68"/>
  <c r="H32"/>
  <c r="H19" s="1"/>
  <c r="H19" i="3356"/>
  <c r="I19" s="1"/>
  <c r="J19" s="1"/>
  <c r="K19" s="1"/>
  <c r="L19" s="1"/>
  <c r="M19" s="1"/>
  <c r="N19" s="1"/>
  <c r="O19" s="1"/>
  <c r="P19" s="1"/>
  <c r="Q19" s="1"/>
  <c r="R19" s="1"/>
  <c r="S19" s="1"/>
  <c r="I46" i="1" l="1"/>
  <c r="D6"/>
  <c r="Q107" i="2"/>
  <c r="H107"/>
  <c r="H108" s="1"/>
  <c r="H109" s="1"/>
  <c r="E144"/>
  <c r="E145" s="1"/>
  <c r="E146" s="1"/>
  <c r="E130"/>
  <c r="C144"/>
  <c r="C145" s="1"/>
  <c r="C146" s="1"/>
  <c r="C130"/>
  <c r="Q33"/>
  <c r="Q19"/>
  <c r="N70"/>
  <c r="N72" s="1"/>
  <c r="J70"/>
  <c r="J72" s="1"/>
  <c r="D144"/>
  <c r="D145" s="1"/>
  <c r="D146" s="1"/>
  <c r="D130"/>
  <c r="B70"/>
  <c r="B72" s="1"/>
  <c r="B56"/>
  <c r="C107"/>
  <c r="B144"/>
  <c r="B145" s="1"/>
  <c r="B146" s="1"/>
  <c r="B130"/>
  <c r="P33"/>
  <c r="P19"/>
  <c r="P68"/>
  <c r="J1" i="40"/>
  <c r="E69" i="2"/>
  <c r="G69"/>
  <c r="Q69"/>
  <c r="D69"/>
  <c r="D56" s="1"/>
  <c r="H69"/>
  <c r="M107"/>
  <c r="M108" s="1"/>
  <c r="S33"/>
  <c r="O33"/>
  <c r="R33"/>
  <c r="B41" i="1"/>
  <c r="I25" s="1"/>
  <c r="D68" i="2"/>
  <c r="H68"/>
  <c r="S69"/>
  <c r="R106"/>
  <c r="I69"/>
  <c r="F31"/>
  <c r="J105"/>
  <c r="B142"/>
  <c r="L32"/>
  <c r="L19" s="1"/>
  <c r="C69"/>
  <c r="E68"/>
  <c r="S106"/>
  <c r="K106"/>
  <c r="J31"/>
  <c r="G68"/>
  <c r="L105"/>
  <c r="K31"/>
  <c r="O69"/>
  <c r="B32"/>
  <c r="B19" s="1"/>
  <c r="I68"/>
  <c r="N32"/>
  <c r="E105"/>
  <c r="D106"/>
  <c r="BT65" i="3"/>
  <c r="C68" i="2"/>
  <c r="R35"/>
  <c r="G106"/>
  <c r="G105"/>
  <c r="G32"/>
  <c r="G19" s="1"/>
  <c r="I106"/>
  <c r="P69"/>
  <c r="B105"/>
  <c r="D32"/>
  <c r="Q68"/>
  <c r="F106"/>
  <c r="U51" i="21039"/>
  <c r="C32" i="2"/>
  <c r="L69"/>
  <c r="B106"/>
  <c r="I31"/>
  <c r="M68"/>
  <c r="M32"/>
  <c r="M19" s="1"/>
  <c r="O106"/>
  <c r="J106"/>
  <c r="L106"/>
  <c r="N106"/>
  <c r="Q108"/>
  <c r="Q109" s="1"/>
  <c r="M109"/>
  <c r="D109"/>
  <c r="C109"/>
  <c r="K33"/>
  <c r="K35" s="1"/>
  <c r="Q72"/>
  <c r="S72"/>
  <c r="T60" i="1"/>
  <c r="D10"/>
  <c r="I32"/>
  <c r="K32" s="1"/>
  <c r="T9"/>
  <c r="J33"/>
  <c r="J50" s="1"/>
  <c r="J51" s="1"/>
  <c r="L14"/>
  <c r="U135" i="2"/>
  <c r="BR1" i="3"/>
  <c r="Y1" i="3356"/>
  <c r="T1" i="2"/>
  <c r="BR1" i="21039"/>
  <c r="O1" i="3356"/>
  <c r="E106" i="2"/>
  <c r="U139"/>
  <c r="R69"/>
  <c r="Q45" i="1"/>
  <c r="S35" i="2"/>
  <c r="L41" i="1"/>
  <c r="U138" i="2"/>
  <c r="B45" i="1" s="1"/>
  <c r="BP51" i="21039"/>
  <c r="BP44"/>
  <c r="E33" i="2"/>
  <c r="E35" s="1"/>
  <c r="T44" i="21039"/>
  <c r="O46" i="1"/>
  <c r="U140" i="2"/>
  <c r="B50" i="1" s="1"/>
  <c r="I45" s="1"/>
  <c r="O50" s="1"/>
  <c r="P106" i="2"/>
  <c r="AA1" i="3356"/>
  <c r="D46" i="2"/>
  <c r="D49" s="1"/>
  <c r="E49" s="1"/>
  <c r="F49" s="1"/>
  <c r="E43"/>
  <c r="E50" s="1"/>
  <c r="W4" i="3"/>
  <c r="V5" i="21039" s="1"/>
  <c r="L1" i="40"/>
  <c r="L22" i="1"/>
  <c r="L33" i="2"/>
  <c r="L35" s="1"/>
  <c r="Q35"/>
  <c r="P35"/>
  <c r="K70"/>
  <c r="K72" s="1"/>
  <c r="E96" i="1"/>
  <c r="G56"/>
  <c r="J33" i="2"/>
  <c r="J35" s="1"/>
  <c r="H33"/>
  <c r="H35" s="1"/>
  <c r="D70"/>
  <c r="D72" s="1"/>
  <c r="B33"/>
  <c r="B35" s="1"/>
  <c r="F33"/>
  <c r="F35" s="1"/>
  <c r="E70"/>
  <c r="E72" s="1"/>
  <c r="G70"/>
  <c r="G72" s="1"/>
  <c r="M70"/>
  <c r="M72" s="1"/>
  <c r="O70"/>
  <c r="O72" s="1"/>
  <c r="F70"/>
  <c r="F72" s="1"/>
  <c r="I33"/>
  <c r="I35" s="1"/>
  <c r="U148"/>
  <c r="D39"/>
  <c r="P11" i="1" l="1"/>
  <c r="E56" i="2"/>
  <c r="R70"/>
  <c r="E107"/>
  <c r="E108" s="1"/>
  <c r="E109" s="1"/>
  <c r="L107"/>
  <c r="L109" s="1"/>
  <c r="O107"/>
  <c r="O108" s="1"/>
  <c r="O109" s="1"/>
  <c r="B107"/>
  <c r="B109" s="1"/>
  <c r="C38"/>
  <c r="C39" s="1"/>
  <c r="U150" s="1"/>
  <c r="C19"/>
  <c r="F107"/>
  <c r="F108" s="1"/>
  <c r="F109" s="1"/>
  <c r="D33"/>
  <c r="D35" s="1"/>
  <c r="D19"/>
  <c r="P70"/>
  <c r="P72" s="1"/>
  <c r="G107"/>
  <c r="G108" s="1"/>
  <c r="G109" s="1"/>
  <c r="D107"/>
  <c r="N33"/>
  <c r="N35" s="1"/>
  <c r="N19"/>
  <c r="K107"/>
  <c r="K108" s="1"/>
  <c r="K109" s="1"/>
  <c r="I70"/>
  <c r="I72" s="1"/>
  <c r="S70"/>
  <c r="Q70"/>
  <c r="P107"/>
  <c r="N107"/>
  <c r="N109" s="1"/>
  <c r="J107"/>
  <c r="J108" s="1"/>
  <c r="J109" s="1"/>
  <c r="L70"/>
  <c r="L72" s="1"/>
  <c r="I107"/>
  <c r="I109" s="1"/>
  <c r="S107"/>
  <c r="S108" s="1"/>
  <c r="S109" s="1"/>
  <c r="S93"/>
  <c r="C70"/>
  <c r="C72" s="1"/>
  <c r="C56"/>
  <c r="R107"/>
  <c r="R108" s="1"/>
  <c r="R109" s="1"/>
  <c r="H70"/>
  <c r="H72" s="1"/>
  <c r="K25" i="1"/>
  <c r="I27"/>
  <c r="I33" s="1"/>
  <c r="I42"/>
  <c r="I48" s="1"/>
  <c r="B53"/>
  <c r="K45"/>
  <c r="M33" i="2"/>
  <c r="M35" s="1"/>
  <c r="C33"/>
  <c r="C35" s="1"/>
  <c r="G33"/>
  <c r="U142"/>
  <c r="P108"/>
  <c r="P109" s="1"/>
  <c r="R72"/>
  <c r="G35"/>
  <c r="K46" i="1"/>
  <c r="U143" i="2"/>
  <c r="X4" i="3"/>
  <c r="W5" i="21039" s="1"/>
  <c r="F43" i="2"/>
  <c r="E46"/>
  <c r="V51" i="21039"/>
  <c r="V44"/>
  <c r="U149" i="2"/>
  <c r="Q39" i="1"/>
  <c r="O38"/>
  <c r="K42"/>
  <c r="P49" s="1"/>
  <c r="T5"/>
  <c r="S5"/>
  <c r="F50" i="2" l="1"/>
  <c r="F56"/>
  <c r="L45" i="1"/>
  <c r="P51"/>
  <c r="O48"/>
  <c r="L46"/>
  <c r="K48"/>
  <c r="N36" s="1"/>
  <c r="L25"/>
  <c r="K27"/>
  <c r="K33" s="1"/>
  <c r="N21" s="1"/>
  <c r="U146" i="2"/>
  <c r="L12" i="1" s="1"/>
  <c r="D5"/>
  <c r="W51" i="21039"/>
  <c r="W44"/>
  <c r="G43" i="2"/>
  <c r="F46"/>
  <c r="Y4" i="3"/>
  <c r="X5" i="21039" s="1"/>
  <c r="Q41" i="1"/>
  <c r="O40"/>
  <c r="L42"/>
  <c r="Q43"/>
  <c r="O42"/>
  <c r="G50" i="2" l="1"/>
  <c r="G56"/>
  <c r="E3" i="21040"/>
  <c r="E7" s="1"/>
  <c r="D7" i="1"/>
  <c r="D11" s="1"/>
  <c r="D13" s="1"/>
  <c r="X44" i="21039"/>
  <c r="X51"/>
  <c r="H43" i="2"/>
  <c r="G46"/>
  <c r="G49" s="1"/>
  <c r="H49" s="1"/>
  <c r="I49" s="1"/>
  <c r="Z4" i="3"/>
  <c r="Y5" i="21039" s="1"/>
  <c r="H50" i="2" l="1"/>
  <c r="H56"/>
  <c r="E11" i="21040"/>
  <c r="L18" i="1"/>
  <c r="B14" s="1"/>
  <c r="T6"/>
  <c r="AB9" s="1"/>
  <c r="T8"/>
  <c r="T10"/>
  <c r="N10" s="1"/>
  <c r="Y44" i="21039"/>
  <c r="Y51"/>
  <c r="I43" i="2"/>
  <c r="H46"/>
  <c r="AA4" i="3"/>
  <c r="Z5" i="21039" s="1"/>
  <c r="I50" i="2" l="1"/>
  <c r="I56"/>
  <c r="D14" i="1"/>
  <c r="S6"/>
  <c r="S8"/>
  <c r="I50"/>
  <c r="J43" i="2"/>
  <c r="I46"/>
  <c r="AB4" i="3"/>
  <c r="AA5" i="21039" s="1"/>
  <c r="Z44"/>
  <c r="Z51"/>
  <c r="J50" i="2" l="1"/>
  <c r="J56"/>
  <c r="K50" i="1"/>
  <c r="I51"/>
  <c r="K51" s="1"/>
  <c r="A14"/>
  <c r="B18" i="21040" s="1"/>
  <c r="J46" i="2"/>
  <c r="J49" s="1"/>
  <c r="AC4" i="3"/>
  <c r="AB5" i="21039" s="1"/>
  <c r="K43" i="2"/>
  <c r="AA51" i="21039"/>
  <c r="AA44"/>
  <c r="K50" i="2" l="1"/>
  <c r="K56"/>
  <c r="B19" i="21040"/>
  <c r="AB51" i="21039"/>
  <c r="AB44"/>
  <c r="L43" i="2"/>
  <c r="K46"/>
  <c r="K49" s="1"/>
  <c r="AD4" i="3"/>
  <c r="AC5" i="21039" s="1"/>
  <c r="L50" i="2" l="1"/>
  <c r="L56"/>
  <c r="L46"/>
  <c r="L49" s="1"/>
  <c r="AE4" i="3"/>
  <c r="AD5" i="21039" s="1"/>
  <c r="M43" i="2"/>
  <c r="AC44" i="21039"/>
  <c r="AC51"/>
  <c r="M50" i="2" l="1"/>
  <c r="M56"/>
  <c r="AF4" i="3"/>
  <c r="AE5" i="21039" s="1"/>
  <c r="M46" i="2"/>
  <c r="M49" s="1"/>
  <c r="N43"/>
  <c r="AD51" i="21039"/>
  <c r="AD44"/>
  <c r="N50" i="2" l="1"/>
  <c r="N56"/>
  <c r="AE44" i="21039"/>
  <c r="AE51"/>
  <c r="O43" i="2"/>
  <c r="N46"/>
  <c r="N49" s="1"/>
  <c r="O49" s="1"/>
  <c r="AG4" i="3"/>
  <c r="AF5" i="21039" s="1"/>
  <c r="O50" i="2" l="1"/>
  <c r="O56"/>
  <c r="AF51" i="21039"/>
  <c r="AF44"/>
  <c r="AH4" i="3"/>
  <c r="AG5" i="21039" s="1"/>
  <c r="O46" i="2"/>
  <c r="P43"/>
  <c r="P50" l="1"/>
  <c r="P56"/>
  <c r="Q43"/>
  <c r="P46"/>
  <c r="P49" s="1"/>
  <c r="AI4" i="3"/>
  <c r="AH5" i="21039" s="1"/>
  <c r="AG44"/>
  <c r="AG51"/>
  <c r="Q50" i="2" l="1"/>
  <c r="Q56"/>
  <c r="AH44" i="21039"/>
  <c r="AH51"/>
  <c r="AJ4" i="3"/>
  <c r="AI5" i="21039" s="1"/>
  <c r="Q46" i="2"/>
  <c r="Q49" s="1"/>
  <c r="R43"/>
  <c r="R50" l="1"/>
  <c r="R56"/>
  <c r="AK4" i="3"/>
  <c r="AJ5" i="21039" s="1"/>
  <c r="S43" i="2"/>
  <c r="R46"/>
  <c r="AI44" i="21039"/>
  <c r="AI51"/>
  <c r="S50" i="2" l="1"/>
  <c r="S56"/>
  <c r="R49"/>
  <c r="AJ44" i="21039"/>
  <c r="AJ51"/>
  <c r="B80" i="2"/>
  <c r="S46"/>
  <c r="AL4" i="3"/>
  <c r="AK5" i="21039" s="1"/>
  <c r="S49" i="2" l="1"/>
  <c r="B87"/>
  <c r="B93"/>
  <c r="B83"/>
  <c r="C80"/>
  <c r="AM4" i="3"/>
  <c r="AL5" i="21039" s="1"/>
  <c r="AK51"/>
  <c r="AK44"/>
  <c r="B86" i="2" l="1"/>
  <c r="C87"/>
  <c r="C93"/>
  <c r="AN4" i="3"/>
  <c r="AM5" i="21039" s="1"/>
  <c r="C83" i="2"/>
  <c r="C86" s="1"/>
  <c r="D80"/>
  <c r="AL51" i="21039"/>
  <c r="AL44"/>
  <c r="D87" i="2" l="1"/>
  <c r="D93"/>
  <c r="AM44" i="21039"/>
  <c r="AM51"/>
  <c r="E80" i="2"/>
  <c r="D83"/>
  <c r="D86" s="1"/>
  <c r="AO4" i="3"/>
  <c r="AN5" i="21039" s="1"/>
  <c r="E87" i="2" l="1"/>
  <c r="E93"/>
  <c r="AN44" i="21039"/>
  <c r="AN51"/>
  <c r="AP4" i="3"/>
  <c r="AO5" i="21039" s="1"/>
  <c r="E83" i="2"/>
  <c r="E86" s="1"/>
  <c r="F80"/>
  <c r="F87" l="1"/>
  <c r="F93"/>
  <c r="F86"/>
  <c r="G86" s="1"/>
  <c r="H86" s="1"/>
  <c r="G80"/>
  <c r="F83"/>
  <c r="F84" s="1"/>
  <c r="F85" s="1"/>
  <c r="AQ4" i="3"/>
  <c r="AP5" i="21039" s="1"/>
  <c r="AO44"/>
  <c r="AO51"/>
  <c r="G87" i="2" l="1"/>
  <c r="G93"/>
  <c r="AR4" i="3"/>
  <c r="AQ5" i="21039" s="1"/>
  <c r="H80" i="2"/>
  <c r="G83"/>
  <c r="G84" s="1"/>
  <c r="G85" s="1"/>
  <c r="AP51" i="21039"/>
  <c r="AP44"/>
  <c r="H87" i="2" l="1"/>
  <c r="H93"/>
  <c r="AQ51" i="21039"/>
  <c r="AQ44"/>
  <c r="AS4" i="3"/>
  <c r="AR5" i="21039" s="1"/>
  <c r="I80" i="2"/>
  <c r="H83"/>
  <c r="H84" s="1"/>
  <c r="H85" s="1"/>
  <c r="I87" l="1"/>
  <c r="I93"/>
  <c r="AR44" i="21039"/>
  <c r="AR51"/>
  <c r="J80" i="2"/>
  <c r="AT4" i="3"/>
  <c r="AS5" i="21039" s="1"/>
  <c r="I83" i="2"/>
  <c r="J87" l="1"/>
  <c r="J93"/>
  <c r="I84"/>
  <c r="I85" s="1"/>
  <c r="I86"/>
  <c r="J83"/>
  <c r="AU4" i="3"/>
  <c r="AT5" i="21039" s="1"/>
  <c r="K80" i="2"/>
  <c r="AS51" i="21039"/>
  <c r="AS44"/>
  <c r="K87" i="2" l="1"/>
  <c r="K93"/>
  <c r="J86"/>
  <c r="K86" s="1"/>
  <c r="B10"/>
  <c r="B11" s="1"/>
  <c r="J84"/>
  <c r="J85" s="1"/>
  <c r="AT51" i="21039"/>
  <c r="AT44"/>
  <c r="L80" i="2"/>
  <c r="K83"/>
  <c r="AV4" i="3"/>
  <c r="AU5" i="21039" s="1"/>
  <c r="L87" i="2" l="1"/>
  <c r="L93"/>
  <c r="AW4" i="3"/>
  <c r="AV5" i="21039" s="1"/>
  <c r="M80" i="2"/>
  <c r="L83"/>
  <c r="L86" s="1"/>
  <c r="M86" s="1"/>
  <c r="K84"/>
  <c r="K85" s="1"/>
  <c r="C10"/>
  <c r="C11" s="1"/>
  <c r="AU44" i="21039"/>
  <c r="AU51"/>
  <c r="M87" i="2" l="1"/>
  <c r="M93"/>
  <c r="AV51" i="21039"/>
  <c r="AV44"/>
  <c r="AX4" i="3"/>
  <c r="AW5" i="21039" s="1"/>
  <c r="N80" i="2"/>
  <c r="M83"/>
  <c r="D10"/>
  <c r="D11" s="1"/>
  <c r="L84"/>
  <c r="L85" s="1"/>
  <c r="N87" l="1"/>
  <c r="N93"/>
  <c r="AY4" i="3"/>
  <c r="AX5" i="21039" s="1"/>
  <c r="O80" i="2"/>
  <c r="N83"/>
  <c r="N86" s="1"/>
  <c r="M84"/>
  <c r="M85" s="1"/>
  <c r="E10"/>
  <c r="E11" s="1"/>
  <c r="AW44" i="21039"/>
  <c r="AW51"/>
  <c r="O87" i="2" l="1"/>
  <c r="O93"/>
  <c r="O86"/>
  <c r="P86" s="1"/>
  <c r="Q86" s="1"/>
  <c r="R86" s="1"/>
  <c r="P80"/>
  <c r="O83"/>
  <c r="AZ4" i="3"/>
  <c r="AY5" i="21039" s="1"/>
  <c r="F10" i="2"/>
  <c r="F11" s="1"/>
  <c r="N84"/>
  <c r="N85" s="1"/>
  <c r="AX44" i="21039"/>
  <c r="AX51"/>
  <c r="P87" i="2" l="1"/>
  <c r="P93"/>
  <c r="L10"/>
  <c r="L11" s="1"/>
  <c r="G10"/>
  <c r="G11" s="1"/>
  <c r="O84"/>
  <c r="O85" s="1"/>
  <c r="AY51" i="21039"/>
  <c r="AY44"/>
  <c r="BA4" i="3"/>
  <c r="AZ5" i="21039" s="1"/>
  <c r="P83" i="2"/>
  <c r="Q80"/>
  <c r="Q87" l="1"/>
  <c r="Q93"/>
  <c r="BB4" i="3"/>
  <c r="BA5" i="21039" s="1"/>
  <c r="Q83" i="2"/>
  <c r="R80"/>
  <c r="AZ44" i="21039"/>
  <c r="AZ51"/>
  <c r="H10" i="2"/>
  <c r="H11" s="1"/>
  <c r="P84"/>
  <c r="P85" s="1"/>
  <c r="M10"/>
  <c r="M11" s="1"/>
  <c r="S87" l="1"/>
  <c r="R87"/>
  <c r="R93"/>
  <c r="Q84"/>
  <c r="Q85" s="1"/>
  <c r="I10"/>
  <c r="I11" s="1"/>
  <c r="N10"/>
  <c r="N11" s="1"/>
  <c r="R83"/>
  <c r="BC4" i="3"/>
  <c r="BB5" i="21039" s="1"/>
  <c r="BA44"/>
  <c r="BA51"/>
  <c r="Q10" i="2" l="1"/>
  <c r="Q11" s="1"/>
  <c r="O10"/>
  <c r="O11" s="1"/>
  <c r="BB44" i="21039"/>
  <c r="BB51"/>
  <c r="J10" i="2"/>
  <c r="J11" s="1"/>
  <c r="R84"/>
  <c r="R85" s="1"/>
  <c r="BD4" i="3"/>
  <c r="BC5" i="21039" s="1"/>
  <c r="B117" i="2"/>
  <c r="S83"/>
  <c r="B124" l="1"/>
  <c r="R10"/>
  <c r="R11" s="1"/>
  <c r="S10"/>
  <c r="S11" s="1"/>
  <c r="P10"/>
  <c r="P11" s="1"/>
  <c r="S86"/>
  <c r="C117"/>
  <c r="B120"/>
  <c r="B121" s="1"/>
  <c r="B122" s="1"/>
  <c r="BE4" i="3"/>
  <c r="BD5" i="21039" s="1"/>
  <c r="K10" i="2"/>
  <c r="K11" s="1"/>
  <c r="S84"/>
  <c r="S85" s="1"/>
  <c r="BC44" i="21039"/>
  <c r="BC51"/>
  <c r="B123" i="2" l="1"/>
  <c r="C123" s="1"/>
  <c r="D123" s="1"/>
  <c r="E123" s="1"/>
  <c r="BD44" i="21039"/>
  <c r="BD51"/>
  <c r="D117" i="2"/>
  <c r="BF4" i="3"/>
  <c r="BE5" i="21039" s="1"/>
  <c r="C120" i="2"/>
  <c r="C121" s="1"/>
  <c r="C122" s="1"/>
  <c r="U123" l="1"/>
  <c r="Q31" i="1" s="1"/>
  <c r="BG4" i="3"/>
  <c r="BF5" i="21039" s="1"/>
  <c r="E117" i="2"/>
  <c r="D120"/>
  <c r="BE51" i="21039"/>
  <c r="BE44"/>
  <c r="C84" i="2" l="1"/>
  <c r="C85" s="1"/>
  <c r="D121"/>
  <c r="D122" s="1"/>
  <c r="E120"/>
  <c r="BH4" i="3"/>
  <c r="BG5" i="21039" s="1"/>
  <c r="BF44"/>
  <c r="BF51"/>
  <c r="C47" i="2"/>
  <c r="C48" s="1"/>
  <c r="D84" l="1"/>
  <c r="D85" s="1"/>
  <c r="E121"/>
  <c r="E122" s="1"/>
  <c r="E84"/>
  <c r="E85" s="1"/>
  <c r="B84"/>
  <c r="B85" s="1"/>
  <c r="BG51" i="21039"/>
  <c r="BG44"/>
  <c r="B47" i="2"/>
  <c r="B48" s="1"/>
  <c r="U124"/>
  <c r="F47" l="1"/>
  <c r="F48" s="1"/>
  <c r="E47"/>
  <c r="E48" s="1"/>
  <c r="D47"/>
  <c r="D48" s="1"/>
  <c r="Q15" i="1"/>
  <c r="L47" i="2"/>
  <c r="L48" s="1"/>
  <c r="G47"/>
  <c r="G48" s="1"/>
  <c r="M47"/>
  <c r="M48" s="1"/>
  <c r="H47"/>
  <c r="H48" s="1"/>
  <c r="I47"/>
  <c r="I48" s="1"/>
  <c r="N47"/>
  <c r="N48" s="1"/>
  <c r="Q47"/>
  <c r="Q48" s="1"/>
  <c r="O47"/>
  <c r="O48" s="1"/>
  <c r="J47"/>
  <c r="J48" s="1"/>
  <c r="K47"/>
  <c r="K48" s="1"/>
  <c r="P47"/>
  <c r="P48" s="1"/>
  <c r="S47"/>
  <c r="S48" s="1"/>
  <c r="R47"/>
  <c r="R48" s="1"/>
  <c r="K35" i="1"/>
</calcChain>
</file>

<file path=xl/sharedStrings.xml><?xml version="1.0" encoding="utf-8"?>
<sst xmlns="http://schemas.openxmlformats.org/spreadsheetml/2006/main" count="655" uniqueCount="272">
  <si>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</si>
  <si>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</si>
  <si>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</si>
  <si>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</si>
  <si>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</si>
  <si>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</si>
  <si>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</si>
  <si>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</si>
  <si>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</si>
  <si>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 xml:space="preserve">Boat use: </t>
  </si>
  <si>
    <t xml:space="preserve">Weeks 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</si>
  <si>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</si>
  <si>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</si>
  <si>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</si>
  <si>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</si>
  <si>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</si>
  <si>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</si>
  <si>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</si>
  <si>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</si>
  <si>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</si>
  <si>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</si>
  <si>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</si>
  <si>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</si>
  <si>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</si>
  <si>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</si>
  <si>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</si>
  <si>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</si>
  <si>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</si>
  <si>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</si>
  <si>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</si>
  <si>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</si>
  <si>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</si>
  <si>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</si>
  <si>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</si>
  <si>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</si>
  <si>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</si>
  <si>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</si>
  <si>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</si>
  <si>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</si>
  <si>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</si>
  <si>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</si>
  <si>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</si>
  <si>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</si>
  <si>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</si>
  <si>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</si>
  <si>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</si>
  <si>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</si>
  <si>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</si>
  <si>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</si>
  <si>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</si>
  <si>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</si>
  <si>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</si>
  <si>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</si>
  <si>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</si>
  <si>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</si>
  <si>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</si>
  <si>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</si>
  <si>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</si>
  <si>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</si>
  <si>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</si>
  <si>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</si>
  <si>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</si>
  <si>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</si>
  <si>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</si>
  <si>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</si>
  <si>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</si>
  <si>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</si>
  <si>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</si>
  <si>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</si>
  <si>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</si>
  <si>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</si>
  <si>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</si>
  <si>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</si>
  <si>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</si>
  <si>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</si>
  <si>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</si>
  <si>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</si>
  <si>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</si>
  <si>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</si>
  <si>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</si>
  <si>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</si>
  <si>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</si>
  <si>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</si>
  <si>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</si>
  <si>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 xml:space="preserve">Actual </t>
  </si>
  <si>
    <t>Provisioned</t>
  </si>
  <si>
    <t>Shortfall</t>
  </si>
  <si>
    <t>Expenditure</t>
  </si>
  <si>
    <t>PUMP-OUT - TOTAL (COVERED BY TRIP CHARGE)</t>
  </si>
  <si>
    <t>UNDER SPEND</t>
  </si>
  <si>
    <t>PROVISIONS FOR THIS YEAR INTO NEXT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</si>
  <si>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</si>
  <si>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</si>
  <si>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</si>
  <si>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</si>
  <si>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</si>
  <si>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</si>
  <si>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</si>
  <si>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OLYMPIC ACCOUNTS</t>
  </si>
  <si>
    <t>STATUS REPORT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</si>
  <si>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</si>
  <si>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</si>
  <si>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</si>
  <si>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</si>
  <si>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</si>
  <si>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LATE BANKING FROM PREVIOUS YEARS</t>
  </si>
  <si>
    <t>FLOATING FUND AVAILABLE FOR SPECIAL PROJECTS</t>
  </si>
  <si>
    <t>P</t>
  </si>
  <si>
    <t>Moorings, Insurance, BWB licence</t>
  </si>
  <si>
    <t>BETTER THAN BUDGET</t>
  </si>
  <si>
    <t>Balance remaining on jobs not yet charged</t>
  </si>
  <si>
    <t>Emergencies &amp; Unplanned (+ written off debt)</t>
  </si>
  <si>
    <t/>
  </si>
  <si>
    <t>Updated:</t>
  </si>
  <si>
    <t>PB</t>
  </si>
  <si>
    <t>DJB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</si>
  <si>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</si>
  <si>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</si>
  <si>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</si>
  <si>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</si>
  <si>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</si>
  <si>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</si>
  <si>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</si>
  <si>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</si>
  <si>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</si>
  <si>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</si>
  <si>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</si>
  <si>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</si>
  <si>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</si>
  <si>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</si>
  <si>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</si>
  <si>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</si>
  <si>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</si>
  <si>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HIDE - Used week</t>
  </si>
  <si>
    <t>HIDE - Used weeks sumation</t>
  </si>
  <si>
    <t>HIDE - Already Used, scheduled week?</t>
  </si>
  <si>
    <t>CURRENT BALANCE AFTER ALL CHEQUES AND DEPOSITS HAVE CLEARED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</si>
  <si>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</si>
  <si>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</si>
  <si>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</si>
  <si>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</si>
  <si>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</si>
  <si>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</si>
  <si>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</si>
  <si>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</si>
  <si>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 xml:space="preserve">An error message will appear below if the two balances above are different. 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</si>
  <si>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</si>
  <si>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</si>
  <si>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</si>
  <si>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</si>
  <si>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</si>
  <si>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</si>
  <si>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</si>
  <si>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</si>
  <si>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</si>
  <si>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(P)rovisioned:</t>
  </si>
  <si>
    <t>Budget reset from £800 in 2008 (£1000 in 2005)</t>
  </si>
  <si>
    <t>TRIP SHEET CREDITS / DEBITS EXPECTED (NOT IN  LAST BANK BALANCE)</t>
  </si>
  <si>
    <t>Restock water filters &amp; Freezeban</t>
  </si>
  <si>
    <t>Y</t>
  </si>
  <si>
    <t>unscheduled</t>
  </si>
  <si>
    <t>Re-stock first aid kit as needed</t>
  </si>
  <si>
    <t>Winter</t>
  </si>
  <si>
    <t>ADDITIONAL TRIPS AND OTHER ACCOUNTS</t>
  </si>
  <si>
    <t>MOORING, LICENCE , INSURANCE.</t>
  </si>
  <si>
    <t>ADDITIONAL TRIPS (&gt;1 IN A WEEK) AND EXPENSES CLAIMED SEPARATELY FROM A TRIP (EG. WORK W/E)</t>
  </si>
  <si>
    <t>Hull fund</t>
  </si>
  <si>
    <t>Total</t>
  </si>
  <si>
    <t>Subscription</t>
  </si>
  <si>
    <t xml:space="preserve">Floating Fund last year  was </t>
  </si>
  <si>
    <t>PROVISIONS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</si>
  <si>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</si>
  <si>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</si>
  <si>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r>
      <t xml:space="preserve">UNPLANNED </t>
    </r>
    <r>
      <rPr>
        <b/>
        <sz val="7"/>
        <rFont val="Arial"/>
        <family val="2"/>
      </rPr>
      <t>Items highlighting significant incidents</t>
    </r>
  </si>
  <si>
    <t>(see below for details)</t>
  </si>
  <si>
    <t>CREDITS / DEBITS EXPECTED POST BALANCE</t>
  </si>
  <si>
    <t xml:space="preserve">Add spotlight option to front headlight.  </t>
  </si>
  <si>
    <t>Balance on jobs started &amp; not complete</t>
  </si>
  <si>
    <t>(S)</t>
  </si>
  <si>
    <t>S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</si>
  <si>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</si>
  <si>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</si>
  <si>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</si>
  <si>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</si>
  <si>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</si>
  <si>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 xml:space="preserve">  JOBS TO BE DONE EVERY YEAR</t>
  </si>
  <si>
    <t>Lights replacement/upgrade (see list at bottom)</t>
  </si>
  <si>
    <t>Resolve starter issue</t>
  </si>
  <si>
    <t>Replace rubber matting over rear boards</t>
  </si>
  <si>
    <t>Excluding Special projects</t>
  </si>
  <si>
    <t>Including Special Projects</t>
  </si>
  <si>
    <t>PAYMENT REFERENCE</t>
  </si>
  <si>
    <t>Waterways Recovery Group</t>
  </si>
  <si>
    <t>D Kee</t>
  </si>
  <si>
    <t>Monitor water pump voltage problem</t>
  </si>
  <si>
    <t xml:space="preserve">Shelving in dining area - wire stops, </t>
  </si>
  <si>
    <t>Permanent solution to collapsed boiler chimney</t>
  </si>
  <si>
    <t>Replace missing bags for blankets and pillows?</t>
  </si>
  <si>
    <t>Boiler check</t>
  </si>
  <si>
    <t>Danny's work: Black the hull and rebuild the front well + gas locker</t>
  </si>
  <si>
    <t>Swanley</t>
  </si>
  <si>
    <t>4 weeks hire of Painting Shed</t>
  </si>
  <si>
    <t>Painter - 1st payment  - for materials</t>
  </si>
  <si>
    <t>Allen-Mead</t>
  </si>
  <si>
    <t>jobs started &amp; not complete</t>
  </si>
  <si>
    <t>Provision</t>
  </si>
  <si>
    <t>Completed or committed jobs not yet claimed.</t>
  </si>
  <si>
    <t>Payment</t>
  </si>
  <si>
    <t>SUBSCRIPTIONS RECEIVED AND</t>
  </si>
  <si>
    <t>Xmas</t>
  </si>
  <si>
    <t>Refurbish rear loo so bowl holds water, we have all the parts.  Front loo loose? See also 9</t>
  </si>
  <si>
    <t xml:space="preserve">De-winterise water pump,check for leaks, reinstall, change water filter. Re-install Port Side Heating pump and shower. </t>
  </si>
  <si>
    <t>Restock CH antifreeze Check water levels (see below)</t>
  </si>
  <si>
    <t>Replace pillows  (4/year?)</t>
  </si>
  <si>
    <t>Clean boat for start of season</t>
  </si>
  <si>
    <t>Service engine (oil &amp; filters mid season)  add diesel tonic, Oil and filter, Fuel filter,</t>
  </si>
  <si>
    <t xml:space="preserve">  JOBS FOR THIS YEAR</t>
  </si>
  <si>
    <t xml:space="preserve">Jobs by Danny to support painting </t>
  </si>
  <si>
    <t>Repair front door before painting</t>
  </si>
  <si>
    <t xml:space="preserve">Resolve water leak at front radiator vent pipe </t>
  </si>
  <si>
    <t>Check for water leaks under kitchen sink as possible cause of smell</t>
  </si>
  <si>
    <t>Replace  fenders</t>
  </si>
  <si>
    <t>Organize boxes in Boiler Cupboard.  Label boxes with contents, replace failing boxes, put list of contents on back of the door.</t>
  </si>
  <si>
    <t>7 out of 14 scheduled weeks last year</t>
  </si>
  <si>
    <t>Boat Painting - Ben Allen-Mead work</t>
  </si>
  <si>
    <t>BOAT PAINTING</t>
  </si>
  <si>
    <t>JF</t>
  </si>
  <si>
    <t>SB</t>
  </si>
  <si>
    <t>JWD KH</t>
  </si>
  <si>
    <t>CJ DJ</t>
  </si>
  <si>
    <t>TM JM</t>
  </si>
  <si>
    <t>DF PF</t>
  </si>
  <si>
    <t>DRK JC</t>
  </si>
  <si>
    <t>DA HA</t>
  </si>
  <si>
    <t>Budget = 9 shares @ £500 + 7 supplements @ 900</t>
  </si>
  <si>
    <t>done</t>
  </si>
  <si>
    <t>Power washing</t>
  </si>
  <si>
    <t>Painting - 1st payment</t>
  </si>
  <si>
    <t>Electricity charge for shed</t>
  </si>
  <si>
    <t>Painter - final payment</t>
  </si>
  <si>
    <t>Replace boat isolation switch</t>
  </si>
  <si>
    <t>Sign painter (cash payment via PB)</t>
  </si>
  <si>
    <t>Atlass</t>
  </si>
  <si>
    <t>Brohi</t>
  </si>
  <si>
    <t>James</t>
  </si>
  <si>
    <t>Martin</t>
  </si>
  <si>
    <t>DK</t>
  </si>
  <si>
    <t>Horn (with separate negative terminal)</t>
  </si>
  <si>
    <t>Bilge Float Switch (starboard side failed)</t>
  </si>
  <si>
    <t>2 Hose connectors (no spares left)</t>
  </si>
  <si>
    <t>Assorted blade fuses (only high value ones on board)</t>
  </si>
  <si>
    <t>Toilet rolls</t>
  </si>
  <si>
    <t>Brough</t>
  </si>
  <si>
    <t>Fisher</t>
  </si>
  <si>
    <t>Kee</t>
  </si>
  <si>
    <t>Mooring pins</t>
  </si>
  <si>
    <t>Bilge pump</t>
  </si>
  <si>
    <t>Nantwich Canal Centre  - shackle</t>
  </si>
  <si>
    <t>Ebay Woods Beryl ware  6 replacement dinner plates</t>
  </si>
  <si>
    <t>Derbyshire</t>
  </si>
  <si>
    <t xml:space="preserve">John Derbyshire overpayment - 2022 sub </t>
  </si>
  <si>
    <t>TOTAL INCOME TO PROVISIONS</t>
  </si>
  <si>
    <t>TOTAL EXPENDITURE FROM PROVISIONS</t>
  </si>
  <si>
    <t>Hull FUND</t>
  </si>
  <si>
    <t>Jobs not started (no spend)</t>
  </si>
  <si>
    <t>Plastic pipe for Bilge pump</t>
  </si>
  <si>
    <r>
      <t xml:space="preserve">REPLACEMENTS </t>
    </r>
    <r>
      <rPr>
        <b/>
        <sz val="7"/>
        <rFont val="Arial"/>
        <family val="2"/>
      </rPr>
      <t>Items highlighting significant incidents</t>
    </r>
  </si>
  <si>
    <t>Balance on jobs not done</t>
  </si>
  <si>
    <t>Jobs abandoned (no spend)</t>
  </si>
  <si>
    <t>Bioler Inspection (Done in 2021)</t>
  </si>
  <si>
    <t>(DA/HA)</t>
  </si>
  <si>
    <t>PROVISIONS INTO / FROM LAST /NEXT YEAR</t>
  </si>
</sst>
</file>

<file path=xl/styles.xml><?xml version="1.0" encoding="utf-8"?>
<styleSheet xmlns="http://schemas.openxmlformats.org/spreadsheetml/2006/main">
  <numFmts count="14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mmmm\ d\,\ yyyy"/>
    <numFmt numFmtId="172" formatCode="&quot;£&quot;#,##0.000000"/>
    <numFmt numFmtId="173" formatCode="0.00000000E+00"/>
    <numFmt numFmtId="174" formatCode="#,##0;[Red]#,##0"/>
    <numFmt numFmtId="175" formatCode="#,##0.00;[Red]#,##0.00"/>
  </numFmts>
  <fonts count="59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sz val="1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b/>
      <sz val="15"/>
      <name val="Arial"/>
      <family val="2"/>
    </font>
    <font>
      <b/>
      <sz val="6"/>
      <color indexed="8"/>
      <name val="Arial"/>
      <family val="2"/>
    </font>
    <font>
      <sz val="9"/>
      <name val="Arial"/>
      <family val="2"/>
    </font>
    <font>
      <sz val="6"/>
      <color theme="1"/>
      <name val="Arial"/>
      <family val="2"/>
    </font>
    <font>
      <strike/>
      <sz val="6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24"/>
      <color indexed="1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i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6">
    <xf numFmtId="15" fontId="0" fillId="0" borderId="0"/>
    <xf numFmtId="3" fontId="4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3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7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37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2" fillId="0" borderId="0"/>
    <xf numFmtId="0" fontId="37" fillId="0" borderId="0"/>
    <xf numFmtId="0" fontId="4" fillId="0" borderId="1" applyNumberFormat="0" applyFont="0" applyFill="0" applyAlignment="0" applyProtection="0"/>
    <xf numFmtId="0" fontId="42" fillId="0" borderId="1" applyNumberFormat="0" applyFont="0" applyFill="0" applyAlignment="0" applyProtection="0"/>
    <xf numFmtId="0" fontId="37" fillId="0" borderId="1" applyNumberFormat="0" applyFont="0" applyFill="0" applyAlignment="0" applyProtection="0"/>
  </cellStyleXfs>
  <cellXfs count="907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68" fontId="4" fillId="0" borderId="12" xfId="0" applyNumberFormat="1" applyFont="1" applyBorder="1"/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5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5" xfId="0" applyNumberFormat="1" applyFont="1" applyBorder="1" applyAlignment="1">
      <alignment horizontal="right"/>
    </xf>
    <xf numFmtId="168" fontId="4" fillId="0" borderId="18" xfId="0" applyNumberFormat="1" applyFont="1" applyBorder="1"/>
    <xf numFmtId="168" fontId="4" fillId="0" borderId="11" xfId="0" applyNumberFormat="1" applyFont="1" applyBorder="1"/>
    <xf numFmtId="168" fontId="4" fillId="0" borderId="0" xfId="0" applyNumberFormat="1" applyFont="1" applyAlignment="1">
      <alignment horizontal="right"/>
    </xf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5" fontId="0" fillId="0" borderId="0" xfId="0" applyNumberFormat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NumberFormat="1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0" xfId="0" applyNumberFormat="1" applyFont="1" applyBorder="1"/>
    <xf numFmtId="15" fontId="4" fillId="0" borderId="0" xfId="0" applyFont="1" applyBorder="1"/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5" fontId="4" fillId="0" borderId="9" xfId="0" applyFont="1" applyFill="1" applyBorder="1" applyAlignment="1">
      <alignment horizontal="center"/>
    </xf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5" fontId="4" fillId="0" borderId="0" xfId="0" applyFont="1" applyBorder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" fontId="4" fillId="0" borderId="44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0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0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68" fontId="4" fillId="0" borderId="0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5" fontId="0" fillId="0" borderId="0" xfId="0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5" fontId="16" fillId="0" borderId="0" xfId="0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15" fontId="4" fillId="0" borderId="59" xfId="0" applyFont="1" applyBorder="1" applyAlignment="1">
      <alignment horizontal="center"/>
    </xf>
    <xf numFmtId="15" fontId="4" fillId="0" borderId="60" xfId="0" applyFont="1" applyBorder="1" applyAlignment="1">
      <alignment horizontal="center"/>
    </xf>
    <xf numFmtId="166" fontId="4" fillId="0" borderId="61" xfId="0" applyNumberFormat="1" applyFont="1" applyBorder="1" applyAlignment="1">
      <alignment horizontal="center"/>
    </xf>
    <xf numFmtId="8" fontId="4" fillId="0" borderId="62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3" xfId="0" applyNumberFormat="1" applyFont="1" applyBorder="1" applyAlignment="1">
      <alignment horizontal="left"/>
    </xf>
    <xf numFmtId="8" fontId="4" fillId="0" borderId="12" xfId="0" applyNumberFormat="1" applyFont="1" applyBorder="1"/>
    <xf numFmtId="8" fontId="4" fillId="0" borderId="64" xfId="0" applyNumberFormat="1" applyFont="1" applyBorder="1"/>
    <xf numFmtId="8" fontId="4" fillId="0" borderId="65" xfId="0" applyNumberFormat="1" applyFont="1" applyBorder="1"/>
    <xf numFmtId="15" fontId="4" fillId="0" borderId="61" xfId="0" applyFont="1" applyBorder="1" applyAlignment="1">
      <alignment horizontal="center"/>
    </xf>
    <xf numFmtId="15" fontId="4" fillId="0" borderId="66" xfId="0" applyFont="1" applyBorder="1" applyAlignment="1">
      <alignment horizontal="center"/>
    </xf>
    <xf numFmtId="1" fontId="4" fillId="0" borderId="2" xfId="0" applyNumberFormat="1" applyFont="1" applyBorder="1"/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8" fontId="4" fillId="0" borderId="67" xfId="0" applyNumberFormat="1" applyFont="1" applyBorder="1" applyAlignment="1">
      <alignment horizontal="center" vertical="center" wrapText="1"/>
    </xf>
    <xf numFmtId="168" fontId="4" fillId="0" borderId="68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69" xfId="0" applyNumberFormat="1" applyFont="1" applyBorder="1"/>
    <xf numFmtId="166" fontId="4" fillId="0" borderId="70" xfId="0" applyNumberFormat="1" applyFont="1" applyBorder="1"/>
    <xf numFmtId="166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8" fontId="4" fillId="0" borderId="21" xfId="0" applyNumberFormat="1" applyFont="1" applyBorder="1"/>
    <xf numFmtId="8" fontId="4" fillId="0" borderId="71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72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3" xfId="0" applyNumberFormat="1" applyFont="1" applyBorder="1"/>
    <xf numFmtId="8" fontId="3" fillId="0" borderId="74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NumberFormat="1" applyFont="1" applyBorder="1" applyAlignment="1">
      <alignment horizontal="center"/>
    </xf>
    <xf numFmtId="15" fontId="4" fillId="0" borderId="51" xfId="0" applyNumberFormat="1" applyFont="1" applyBorder="1" applyAlignment="1">
      <alignment horizontal="center"/>
    </xf>
    <xf numFmtId="15" fontId="4" fillId="0" borderId="75" xfId="0" applyNumberFormat="1" applyFont="1" applyBorder="1" applyAlignment="1">
      <alignment horizontal="center"/>
    </xf>
    <xf numFmtId="15" fontId="4" fillId="0" borderId="76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center"/>
    </xf>
    <xf numFmtId="15" fontId="4" fillId="0" borderId="44" xfId="0" applyNumberFormat="1" applyFont="1" applyBorder="1" applyAlignment="1">
      <alignment horizontal="center"/>
    </xf>
    <xf numFmtId="15" fontId="4" fillId="0" borderId="77" xfId="0" applyFont="1" applyBorder="1" applyAlignment="1"/>
    <xf numFmtId="15" fontId="4" fillId="0" borderId="78" xfId="0" applyFont="1" applyBorder="1" applyAlignment="1"/>
    <xf numFmtId="8" fontId="4" fillId="0" borderId="79" xfId="0" applyNumberFormat="1" applyFont="1" applyBorder="1"/>
    <xf numFmtId="168" fontId="4" fillId="0" borderId="80" xfId="0" applyNumberFormat="1" applyFont="1" applyBorder="1" applyAlignment="1">
      <alignment vertical="center" textRotation="180"/>
    </xf>
    <xf numFmtId="8" fontId="4" fillId="0" borderId="81" xfId="0" applyNumberFormat="1" applyFont="1" applyBorder="1"/>
    <xf numFmtId="8" fontId="18" fillId="0" borderId="82" xfId="0" applyNumberFormat="1" applyFont="1" applyBorder="1"/>
    <xf numFmtId="8" fontId="4" fillId="0" borderId="63" xfId="0" applyNumberFormat="1" applyFont="1" applyBorder="1"/>
    <xf numFmtId="8" fontId="4" fillId="0" borderId="83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4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5" xfId="0" applyFont="1" applyBorder="1"/>
    <xf numFmtId="40" fontId="4" fillId="0" borderId="0" xfId="0" applyNumberFormat="1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6" xfId="0" applyNumberFormat="1" applyFont="1" applyBorder="1"/>
    <xf numFmtId="40" fontId="4" fillId="0" borderId="19" xfId="0" applyNumberFormat="1" applyFont="1" applyBorder="1"/>
    <xf numFmtId="40" fontId="4" fillId="0" borderId="84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7" xfId="0" applyNumberFormat="1" applyFont="1" applyBorder="1" applyAlignment="1">
      <alignment horizontal="center"/>
    </xf>
    <xf numFmtId="1" fontId="4" fillId="0" borderId="88" xfId="0" applyNumberFormat="1" applyFont="1" applyBorder="1" applyAlignment="1">
      <alignment horizontal="center"/>
    </xf>
    <xf numFmtId="1" fontId="4" fillId="0" borderId="89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90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2" fillId="0" borderId="0" xfId="0" applyFont="1"/>
    <xf numFmtId="15" fontId="25" fillId="0" borderId="0" xfId="0" applyFont="1"/>
    <xf numFmtId="15" fontId="23" fillId="0" borderId="0" xfId="0" applyFont="1"/>
    <xf numFmtId="15" fontId="16" fillId="0" borderId="0" xfId="0" applyFont="1" applyAlignment="1">
      <alignment wrapText="1"/>
    </xf>
    <xf numFmtId="15" fontId="27" fillId="0" borderId="0" xfId="0" applyFont="1" applyAlignment="1">
      <alignment horizontal="left"/>
    </xf>
    <xf numFmtId="15" fontId="27" fillId="0" borderId="0" xfId="0" applyFont="1"/>
    <xf numFmtId="170" fontId="4" fillId="0" borderId="0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NumberFormat="1" applyFont="1" applyBorder="1" applyAlignment="1">
      <alignment horizontal="left" wrapText="1"/>
    </xf>
    <xf numFmtId="15" fontId="4" fillId="0" borderId="11" xfId="0" applyNumberFormat="1" applyFont="1" applyBorder="1" applyAlignment="1">
      <alignment horizontal="center"/>
    </xf>
    <xf numFmtId="15" fontId="4" fillId="0" borderId="10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70" fontId="4" fillId="0" borderId="73" xfId="0" applyNumberFormat="1" applyFont="1" applyBorder="1"/>
    <xf numFmtId="1" fontId="4" fillId="0" borderId="8" xfId="0" applyNumberFormat="1" applyFont="1" applyBorder="1" applyAlignment="1">
      <alignment horizontal="center"/>
    </xf>
    <xf numFmtId="15" fontId="4" fillId="0" borderId="0" xfId="0" quotePrefix="1" applyFont="1" applyBorder="1"/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0" fillId="0" borderId="0" xfId="0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4" fillId="0" borderId="0" xfId="0" applyNumberFormat="1" applyFont="1" applyBorder="1" applyAlignment="1">
      <alignment horizontal="center"/>
    </xf>
    <xf numFmtId="15" fontId="23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6" xfId="0" applyNumberFormat="1" applyFont="1" applyBorder="1"/>
    <xf numFmtId="8" fontId="4" fillId="0" borderId="45" xfId="0" applyNumberFormat="1" applyFont="1" applyBorder="1"/>
    <xf numFmtId="1" fontId="16" fillId="0" borderId="88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90" xfId="0" applyNumberFormat="1" applyFont="1" applyBorder="1" applyAlignment="1">
      <alignment horizontal="center"/>
    </xf>
    <xf numFmtId="170" fontId="29" fillId="0" borderId="11" xfId="0" applyNumberFormat="1" applyFont="1" applyBorder="1"/>
    <xf numFmtId="170" fontId="29" fillId="0" borderId="5" xfId="0" applyNumberFormat="1" applyFont="1" applyBorder="1"/>
    <xf numFmtId="170" fontId="29" fillId="0" borderId="8" xfId="0" applyNumberFormat="1" applyFont="1" applyBorder="1"/>
    <xf numFmtId="15" fontId="29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68" fontId="4" fillId="0" borderId="0" xfId="0" quotePrefix="1" applyNumberFormat="1" applyFont="1"/>
    <xf numFmtId="15" fontId="4" fillId="0" borderId="50" xfId="0" applyNumberFormat="1" applyFont="1" applyBorder="1" applyAlignment="1">
      <alignment horizontal="left" wrapText="1"/>
    </xf>
    <xf numFmtId="15" fontId="4" fillId="0" borderId="57" xfId="0" applyFont="1" applyBorder="1"/>
    <xf numFmtId="8" fontId="4" fillId="0" borderId="19" xfId="0" applyNumberFormat="1" applyFont="1" applyBorder="1"/>
    <xf numFmtId="8" fontId="4" fillId="0" borderId="37" xfId="0" applyNumberFormat="1" applyFont="1" applyBorder="1"/>
    <xf numFmtId="8" fontId="16" fillId="2" borderId="0" xfId="0" applyNumberFormat="1" applyFont="1" applyFill="1" applyBorder="1"/>
    <xf numFmtId="8" fontId="4" fillId="2" borderId="0" xfId="0" applyNumberFormat="1" applyFont="1" applyFill="1"/>
    <xf numFmtId="8" fontId="4" fillId="2" borderId="0" xfId="0" applyNumberFormat="1" applyFont="1" applyFill="1" applyBorder="1"/>
    <xf numFmtId="168" fontId="4" fillId="2" borderId="0" xfId="0" applyNumberFormat="1" applyFont="1" applyFill="1" applyBorder="1"/>
    <xf numFmtId="168" fontId="4" fillId="2" borderId="0" xfId="0" applyNumberFormat="1" applyFont="1" applyFill="1"/>
    <xf numFmtId="8" fontId="16" fillId="2" borderId="0" xfId="0" applyNumberFormat="1" applyFont="1" applyFill="1"/>
    <xf numFmtId="170" fontId="4" fillId="2" borderId="0" xfId="0" applyNumberFormat="1" applyFont="1" applyFill="1"/>
    <xf numFmtId="170" fontId="4" fillId="2" borderId="0" xfId="0" applyNumberFormat="1" applyFont="1" applyFill="1" applyBorder="1"/>
    <xf numFmtId="1" fontId="4" fillId="2" borderId="0" xfId="0" applyNumberFormat="1" applyFont="1" applyFill="1" applyBorder="1"/>
    <xf numFmtId="15" fontId="16" fillId="2" borderId="5" xfId="0" applyFont="1" applyFill="1" applyBorder="1"/>
    <xf numFmtId="2" fontId="30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67" fontId="4" fillId="2" borderId="0" xfId="0" applyNumberFormat="1" applyFont="1" applyFill="1" applyBorder="1"/>
    <xf numFmtId="15" fontId="4" fillId="0" borderId="25" xfId="0" applyFont="1" applyBorder="1" applyAlignment="1">
      <alignment horizontal="center"/>
    </xf>
    <xf numFmtId="15" fontId="4" fillId="0" borderId="91" xfId="0" applyNumberFormat="1" applyFont="1" applyBorder="1" applyAlignment="1">
      <alignment horizontal="center"/>
    </xf>
    <xf numFmtId="8" fontId="4" fillId="2" borderId="2" xfId="0" applyNumberFormat="1" applyFont="1" applyFill="1" applyBorder="1"/>
    <xf numFmtId="15" fontId="0" fillId="0" borderId="6" xfId="0" applyNumberFormat="1" applyBorder="1" applyAlignment="1">
      <alignment horizontal="center"/>
    </xf>
    <xf numFmtId="170" fontId="4" fillId="0" borderId="49" xfId="0" applyNumberFormat="1" applyFont="1" applyBorder="1"/>
    <xf numFmtId="0" fontId="4" fillId="2" borderId="0" xfId="0" applyNumberFormat="1" applyFont="1" applyFill="1"/>
    <xf numFmtId="1" fontId="16" fillId="0" borderId="0" xfId="0" applyNumberFormat="1" applyFont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0" fillId="0" borderId="0" xfId="0" applyNumberFormat="1" applyBorder="1"/>
    <xf numFmtId="168" fontId="16" fillId="0" borderId="0" xfId="0" applyNumberFormat="1" applyFont="1" applyBorder="1"/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92" xfId="0" applyFont="1" applyBorder="1" applyAlignment="1">
      <alignment horizontal="center"/>
    </xf>
    <xf numFmtId="2" fontId="30" fillId="0" borderId="93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92" xfId="0" applyNumberFormat="1" applyFont="1" applyBorder="1" applyAlignment="1">
      <alignment horizontal="right"/>
    </xf>
    <xf numFmtId="8" fontId="4" fillId="0" borderId="94" xfId="0" applyNumberFormat="1" applyFont="1" applyBorder="1"/>
    <xf numFmtId="170" fontId="4" fillId="0" borderId="0" xfId="0" applyNumberFormat="1" applyFont="1" applyFill="1"/>
    <xf numFmtId="167" fontId="4" fillId="2" borderId="11" xfId="0" applyNumberFormat="1" applyFont="1" applyFill="1" applyBorder="1"/>
    <xf numFmtId="8" fontId="4" fillId="0" borderId="95" xfId="0" applyNumberFormat="1" applyFont="1" applyBorder="1"/>
    <xf numFmtId="8" fontId="4" fillId="0" borderId="96" xfId="0" applyNumberFormat="1" applyFont="1" applyBorder="1"/>
    <xf numFmtId="15" fontId="0" fillId="0" borderId="8" xfId="0" applyNumberFormat="1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Fill="1" applyBorder="1"/>
    <xf numFmtId="8" fontId="4" fillId="0" borderId="1" xfId="0" applyNumberFormat="1" applyFont="1" applyBorder="1"/>
    <xf numFmtId="1" fontId="4" fillId="0" borderId="97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98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99" xfId="0" applyNumberFormat="1" applyFont="1" applyBorder="1" applyAlignment="1">
      <alignment vertical="center"/>
    </xf>
    <xf numFmtId="168" fontId="28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70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" fontId="4" fillId="2" borderId="8" xfId="0" applyNumberFormat="1" applyFont="1" applyFill="1" applyBorder="1"/>
    <xf numFmtId="166" fontId="8" fillId="0" borderId="0" xfId="0" applyNumberFormat="1" applyFont="1" applyBorder="1" applyAlignment="1">
      <alignment horizontal="center"/>
    </xf>
    <xf numFmtId="15" fontId="8" fillId="0" borderId="0" xfId="0" applyFont="1"/>
    <xf numFmtId="170" fontId="4" fillId="0" borderId="69" xfId="0" applyNumberFormat="1" applyFont="1" applyBorder="1"/>
    <xf numFmtId="1" fontId="4" fillId="2" borderId="69" xfId="0" applyNumberFormat="1" applyFont="1" applyFill="1" applyBorder="1"/>
    <xf numFmtId="174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100" xfId="0" applyNumberFormat="1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101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5" xfId="0" applyNumberFormat="1" applyFont="1" applyFill="1" applyBorder="1" applyProtection="1">
      <protection locked="0"/>
    </xf>
    <xf numFmtId="170" fontId="4" fillId="3" borderId="102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3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4" fillId="3" borderId="88" xfId="0" applyNumberFormat="1" applyFont="1" applyFill="1" applyBorder="1" applyAlignment="1" applyProtection="1">
      <alignment horizontal="center"/>
      <protection locked="0"/>
    </xf>
    <xf numFmtId="1" fontId="34" fillId="3" borderId="89" xfId="0" applyNumberFormat="1" applyFont="1" applyFill="1" applyBorder="1" applyAlignment="1" applyProtection="1">
      <alignment horizontal="center"/>
      <protection locked="0"/>
    </xf>
    <xf numFmtId="170" fontId="4" fillId="3" borderId="103" xfId="0" applyNumberFormat="1" applyFont="1" applyFill="1" applyBorder="1" applyProtection="1">
      <protection locked="0"/>
    </xf>
    <xf numFmtId="2" fontId="30" fillId="0" borderId="75" xfId="0" applyNumberFormat="1" applyFont="1" applyBorder="1" applyAlignment="1">
      <alignment horizontal="center"/>
    </xf>
    <xf numFmtId="170" fontId="4" fillId="3" borderId="63" xfId="0" applyNumberFormat="1" applyFont="1" applyFill="1" applyBorder="1" applyProtection="1">
      <protection locked="0"/>
    </xf>
    <xf numFmtId="168" fontId="4" fillId="0" borderId="104" xfId="0" applyNumberFormat="1" applyFont="1" applyBorder="1"/>
    <xf numFmtId="168" fontId="4" fillId="0" borderId="105" xfId="0" applyNumberFormat="1" applyFont="1" applyBorder="1"/>
    <xf numFmtId="168" fontId="4" fillId="0" borderId="106" xfId="0" applyNumberFormat="1" applyFont="1" applyBorder="1"/>
    <xf numFmtId="168" fontId="4" fillId="0" borderId="107" xfId="0" applyNumberFormat="1" applyFont="1" applyBorder="1"/>
    <xf numFmtId="170" fontId="4" fillId="3" borderId="108" xfId="0" applyNumberFormat="1" applyFont="1" applyFill="1" applyBorder="1" applyProtection="1">
      <protection locked="0"/>
    </xf>
    <xf numFmtId="170" fontId="4" fillId="3" borderId="109" xfId="0" applyNumberFormat="1" applyFont="1" applyFill="1" applyBorder="1" applyProtection="1">
      <protection locked="0"/>
    </xf>
    <xf numFmtId="170" fontId="4" fillId="3" borderId="104" xfId="0" applyNumberFormat="1" applyFont="1" applyFill="1" applyBorder="1" applyProtection="1">
      <protection locked="0"/>
    </xf>
    <xf numFmtId="8" fontId="4" fillId="3" borderId="108" xfId="0" applyNumberFormat="1" applyFont="1" applyFill="1" applyBorder="1" applyProtection="1">
      <protection locked="0"/>
    </xf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170" fontId="4" fillId="3" borderId="112" xfId="0" applyNumberFormat="1" applyFont="1" applyFill="1" applyBorder="1" applyAlignment="1" applyProtection="1">
      <alignment horizontal="left" wrapText="1"/>
      <protection locked="0"/>
    </xf>
    <xf numFmtId="170" fontId="8" fillId="3" borderId="110" xfId="0" applyNumberFormat="1" applyFont="1" applyFill="1" applyBorder="1" applyProtection="1">
      <protection locked="0"/>
    </xf>
    <xf numFmtId="170" fontId="4" fillId="3" borderId="113" xfId="0" applyNumberFormat="1" applyFont="1" applyFill="1" applyBorder="1" applyAlignment="1" applyProtection="1">
      <alignment horizontal="left" wrapText="1"/>
      <protection locked="0"/>
    </xf>
    <xf numFmtId="170" fontId="4" fillId="3" borderId="114" xfId="0" applyNumberFormat="1" applyFont="1" applyFill="1" applyBorder="1" applyProtection="1">
      <protection locked="0"/>
    </xf>
    <xf numFmtId="170" fontId="4" fillId="3" borderId="115" xfId="0" applyNumberFormat="1" applyFont="1" applyFill="1" applyBorder="1" applyProtection="1">
      <protection locked="0"/>
    </xf>
    <xf numFmtId="170" fontId="4" fillId="3" borderId="116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NumberFormat="1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8" fontId="4" fillId="0" borderId="117" xfId="0" applyNumberFormat="1" applyFont="1" applyBorder="1"/>
    <xf numFmtId="8" fontId="4" fillId="0" borderId="118" xfId="0" applyNumberFormat="1" applyFont="1" applyBorder="1"/>
    <xf numFmtId="8" fontId="4" fillId="0" borderId="119" xfId="0" applyNumberFormat="1" applyFont="1" applyBorder="1"/>
    <xf numFmtId="15" fontId="4" fillId="0" borderId="120" xfId="0" applyFont="1" applyBorder="1" applyAlignment="1">
      <alignment horizontal="center"/>
    </xf>
    <xf numFmtId="15" fontId="4" fillId="0" borderId="121" xfId="0" applyFont="1" applyBorder="1" applyAlignment="1">
      <alignment horizontal="center"/>
    </xf>
    <xf numFmtId="15" fontId="0" fillId="3" borderId="116" xfId="0" applyNumberFormat="1" applyFill="1" applyBorder="1" applyAlignment="1" applyProtection="1">
      <alignment horizontal="center"/>
      <protection locked="0"/>
    </xf>
    <xf numFmtId="15" fontId="4" fillId="0" borderId="123" xfId="0" applyFont="1" applyBorder="1" applyAlignment="1">
      <alignment horizontal="center"/>
    </xf>
    <xf numFmtId="15" fontId="4" fillId="0" borderId="125" xfId="0" applyFont="1" applyBorder="1" applyAlignment="1">
      <alignment horizontal="right"/>
    </xf>
    <xf numFmtId="15" fontId="4" fillId="0" borderId="126" xfId="0" applyFont="1" applyBorder="1" applyAlignment="1">
      <alignment horizontal="right"/>
    </xf>
    <xf numFmtId="8" fontId="4" fillId="3" borderId="126" xfId="0" applyNumberFormat="1" applyFont="1" applyFill="1" applyBorder="1" applyProtection="1">
      <protection locked="0"/>
    </xf>
    <xf numFmtId="8" fontId="4" fillId="3" borderId="128" xfId="0" applyNumberFormat="1" applyFont="1" applyFill="1" applyBorder="1" applyProtection="1">
      <protection locked="0"/>
    </xf>
    <xf numFmtId="15" fontId="4" fillId="3" borderId="129" xfId="0" applyFont="1" applyFill="1" applyBorder="1" applyAlignment="1" applyProtection="1">
      <alignment horizontal="center"/>
      <protection locked="0"/>
    </xf>
    <xf numFmtId="15" fontId="4" fillId="0" borderId="130" xfId="0" applyFont="1" applyBorder="1" applyAlignment="1">
      <alignment horizontal="right"/>
    </xf>
    <xf numFmtId="167" fontId="4" fillId="3" borderId="131" xfId="0" applyNumberFormat="1" applyFont="1" applyFill="1" applyBorder="1" applyProtection="1">
      <protection locked="0"/>
    </xf>
    <xf numFmtId="167" fontId="4" fillId="3" borderId="132" xfId="0" applyNumberFormat="1" applyFont="1" applyFill="1" applyBorder="1" applyProtection="1">
      <protection locked="0"/>
    </xf>
    <xf numFmtId="8" fontId="4" fillId="3" borderId="133" xfId="0" applyNumberFormat="1" applyFont="1" applyFill="1" applyBorder="1" applyProtection="1">
      <protection locked="0"/>
    </xf>
    <xf numFmtId="8" fontId="4" fillId="0" borderId="134" xfId="0" applyNumberFormat="1" applyFont="1" applyBorder="1"/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168" fontId="4" fillId="3" borderId="140" xfId="0" applyNumberFormat="1" applyFont="1" applyFill="1" applyBorder="1" applyProtection="1">
      <protection locked="0"/>
    </xf>
    <xf numFmtId="8" fontId="4" fillId="3" borderId="141" xfId="0" applyNumberFormat="1" applyFont="1" applyFill="1" applyBorder="1" applyProtection="1">
      <protection locked="0"/>
    </xf>
    <xf numFmtId="8" fontId="4" fillId="3" borderId="114" xfId="0" applyNumberFormat="1" applyFont="1" applyFill="1" applyBorder="1" applyProtection="1">
      <protection locked="0"/>
    </xf>
    <xf numFmtId="8" fontId="4" fillId="0" borderId="142" xfId="0" applyNumberFormat="1" applyFont="1" applyBorder="1"/>
    <xf numFmtId="8" fontId="4" fillId="0" borderId="143" xfId="0" applyNumberFormat="1" applyFont="1" applyBorder="1"/>
    <xf numFmtId="8" fontId="4" fillId="0" borderId="144" xfId="0" applyNumberFormat="1" applyFont="1" applyBorder="1"/>
    <xf numFmtId="8" fontId="4" fillId="0" borderId="145" xfId="0" applyNumberFormat="1" applyFont="1" applyBorder="1"/>
    <xf numFmtId="8" fontId="4" fillId="0" borderId="146" xfId="0" applyNumberFormat="1" applyFont="1" applyBorder="1"/>
    <xf numFmtId="8" fontId="4" fillId="0" borderId="147" xfId="0" applyNumberFormat="1" applyFont="1" applyBorder="1"/>
    <xf numFmtId="8" fontId="4" fillId="0" borderId="148" xfId="0" applyNumberFormat="1" applyFont="1" applyBorder="1"/>
    <xf numFmtId="8" fontId="4" fillId="0" borderId="149" xfId="0" applyNumberFormat="1" applyFont="1" applyBorder="1"/>
    <xf numFmtId="8" fontId="4" fillId="0" borderId="150" xfId="0" applyNumberFormat="1" applyFont="1" applyBorder="1"/>
    <xf numFmtId="8" fontId="4" fillId="3" borderId="151" xfId="0" applyNumberFormat="1" applyFont="1" applyFill="1" applyBorder="1" applyProtection="1">
      <protection locked="0"/>
    </xf>
    <xf numFmtId="167" fontId="4" fillId="3" borderId="152" xfId="0" applyNumberFormat="1" applyFont="1" applyFill="1" applyBorder="1" applyAlignment="1" applyProtection="1">
      <alignment horizontal="center"/>
      <protection locked="0"/>
    </xf>
    <xf numFmtId="168" fontId="4" fillId="0" borderId="125" xfId="0" applyNumberFormat="1" applyFont="1" applyBorder="1"/>
    <xf numFmtId="168" fontId="4" fillId="0" borderId="123" xfId="0" quotePrefix="1" applyNumberFormat="1" applyFont="1" applyBorder="1"/>
    <xf numFmtId="8" fontId="4" fillId="3" borderId="153" xfId="0" quotePrefix="1" applyNumberFormat="1" applyFont="1" applyFill="1" applyBorder="1" applyProtection="1">
      <protection locked="0"/>
    </xf>
    <xf numFmtId="168" fontId="4" fillId="0" borderId="126" xfId="0" applyNumberFormat="1" applyFont="1" applyBorder="1"/>
    <xf numFmtId="3" fontId="4" fillId="0" borderId="154" xfId="0" quotePrefix="1" applyNumberFormat="1" applyFont="1" applyBorder="1" applyAlignment="1">
      <alignment vertical="top"/>
    </xf>
    <xf numFmtId="168" fontId="4" fillId="3" borderId="155" xfId="0" applyNumberFormat="1" applyFont="1" applyFill="1" applyBorder="1" applyAlignment="1" applyProtection="1">
      <alignment vertical="top"/>
      <protection locked="0"/>
    </xf>
    <xf numFmtId="168" fontId="4" fillId="0" borderId="130" xfId="0" applyNumberFormat="1" applyFont="1" applyBorder="1"/>
    <xf numFmtId="168" fontId="4" fillId="0" borderId="156" xfId="0" applyNumberFormat="1" applyFont="1" applyBorder="1"/>
    <xf numFmtId="8" fontId="4" fillId="0" borderId="157" xfId="0" quotePrefix="1" applyNumberFormat="1" applyFont="1" applyBorder="1"/>
    <xf numFmtId="15" fontId="4" fillId="0" borderId="123" xfId="0" applyNumberFormat="1" applyFont="1" applyFill="1" applyBorder="1" applyAlignment="1" applyProtection="1">
      <alignment horizontal="left"/>
    </xf>
    <xf numFmtId="15" fontId="35" fillId="0" borderId="0" xfId="0" applyFont="1"/>
    <xf numFmtId="15" fontId="35" fillId="0" borderId="0" xfId="0" applyFont="1" applyAlignment="1">
      <alignment vertical="center" wrapText="1"/>
    </xf>
    <xf numFmtId="168" fontId="4" fillId="4" borderId="158" xfId="0" applyNumberFormat="1" applyFont="1" applyFill="1" applyBorder="1" applyProtection="1">
      <protection locked="0"/>
    </xf>
    <xf numFmtId="168" fontId="4" fillId="4" borderId="104" xfId="0" applyNumberFormat="1" applyFont="1" applyFill="1" applyBorder="1" applyProtection="1">
      <protection locked="0"/>
    </xf>
    <xf numFmtId="168" fontId="4" fillId="4" borderId="159" xfId="0" applyNumberFormat="1" applyFont="1" applyFill="1" applyBorder="1" applyProtection="1">
      <protection locked="0"/>
    </xf>
    <xf numFmtId="168" fontId="4" fillId="4" borderId="106" xfId="0" applyNumberFormat="1" applyFont="1" applyFill="1" applyBorder="1" applyProtection="1">
      <protection locked="0"/>
    </xf>
    <xf numFmtId="1" fontId="16" fillId="3" borderId="121" xfId="0" applyNumberFormat="1" applyFont="1" applyFill="1" applyBorder="1" applyAlignment="1" applyProtection="1">
      <alignment horizontal="center"/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67" fontId="4" fillId="3" borderId="132" xfId="0" applyNumberFormat="1" applyFont="1" applyFill="1" applyBorder="1" applyAlignment="1" applyProtection="1">
      <alignment horizontal="center"/>
      <protection locked="0"/>
    </xf>
    <xf numFmtId="8" fontId="4" fillId="3" borderId="160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3" borderId="138" xfId="0" applyNumberFormat="1" applyFont="1" applyFill="1" applyBorder="1" applyProtection="1">
      <protection locked="0"/>
    </xf>
    <xf numFmtId="8" fontId="4" fillId="3" borderId="131" xfId="0" applyNumberFormat="1" applyFont="1" applyFill="1" applyBorder="1" applyProtection="1">
      <protection locked="0"/>
    </xf>
    <xf numFmtId="8" fontId="4" fillId="3" borderId="132" xfId="0" applyNumberFormat="1" applyFont="1" applyFill="1" applyBorder="1" applyProtection="1">
      <protection locked="0"/>
    </xf>
    <xf numFmtId="15" fontId="4" fillId="0" borderId="0" xfId="0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/>
    <xf numFmtId="1" fontId="4" fillId="0" borderId="0" xfId="0" applyNumberFormat="1" applyFont="1" applyFill="1" applyBorder="1"/>
    <xf numFmtId="15" fontId="4" fillId="0" borderId="0" xfId="0" applyFont="1" applyFill="1" applyBorder="1"/>
    <xf numFmtId="170" fontId="4" fillId="0" borderId="0" xfId="0" applyNumberFormat="1" applyFont="1" applyFill="1" applyBorder="1" applyProtection="1">
      <protection locked="0"/>
    </xf>
    <xf numFmtId="170" fontId="4" fillId="0" borderId="0" xfId="0" applyNumberFormat="1" applyFont="1" applyFill="1" applyBorder="1"/>
    <xf numFmtId="2" fontId="30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/>
    <xf numFmtId="1" fontId="16" fillId="0" borderId="0" xfId="0" applyNumberFormat="1" applyFont="1" applyFill="1" applyBorder="1" applyAlignment="1" applyProtection="1">
      <alignment horizontal="center"/>
      <protection locked="0"/>
    </xf>
    <xf numFmtId="15" fontId="4" fillId="0" borderId="161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62" xfId="0" applyNumberFormat="1" applyFill="1" applyBorder="1" applyAlignment="1" applyProtection="1">
      <alignment horizontal="center"/>
      <protection locked="0"/>
    </xf>
    <xf numFmtId="170" fontId="4" fillId="0" borderId="86" xfId="0" applyNumberFormat="1" applyFont="1" applyFill="1" applyBorder="1" applyProtection="1">
      <protection locked="0"/>
    </xf>
    <xf numFmtId="1" fontId="34" fillId="3" borderId="87" xfId="0" applyNumberFormat="1" applyFont="1" applyFill="1" applyBorder="1" applyAlignment="1" applyProtection="1">
      <alignment horizontal="center"/>
      <protection locked="0"/>
    </xf>
    <xf numFmtId="15" fontId="4" fillId="0" borderId="69" xfId="0" applyFont="1" applyBorder="1"/>
    <xf numFmtId="170" fontId="4" fillId="0" borderId="163" xfId="0" applyNumberFormat="1" applyFont="1" applyFill="1" applyBorder="1" applyProtection="1">
      <protection locked="0"/>
    </xf>
    <xf numFmtId="15" fontId="4" fillId="0" borderId="9" xfId="0" applyFont="1" applyFill="1" applyBorder="1" applyAlignment="1" applyProtection="1">
      <alignment horizontal="center"/>
    </xf>
    <xf numFmtId="168" fontId="4" fillId="0" borderId="31" xfId="0" applyNumberFormat="1" applyFont="1" applyBorder="1"/>
    <xf numFmtId="168" fontId="4" fillId="0" borderId="32" xfId="0" applyNumberFormat="1" applyFont="1" applyBorder="1"/>
    <xf numFmtId="168" fontId="4" fillId="0" borderId="164" xfId="0" applyNumberFormat="1" applyFont="1" applyBorder="1"/>
    <xf numFmtId="168" fontId="4" fillId="4" borderId="73" xfId="0" applyNumberFormat="1" applyFont="1" applyFill="1" applyBorder="1" applyProtection="1">
      <protection locked="0"/>
    </xf>
    <xf numFmtId="168" fontId="4" fillId="4" borderId="12" xfId="0" applyNumberFormat="1" applyFont="1" applyFill="1" applyBorder="1" applyProtection="1">
      <protection locked="0"/>
    </xf>
    <xf numFmtId="168" fontId="4" fillId="0" borderId="165" xfId="0" applyNumberFormat="1" applyFont="1" applyBorder="1"/>
    <xf numFmtId="1" fontId="36" fillId="3" borderId="88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 applyFont="1"/>
    <xf numFmtId="15" fontId="4" fillId="0" borderId="10" xfId="0" applyFont="1" applyFill="1" applyBorder="1" applyAlignment="1" applyProtection="1">
      <alignment horizontal="center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70" fontId="4" fillId="0" borderId="0" xfId="0" applyNumberFormat="1" applyFont="1" applyBorder="1" applyProtection="1">
      <protection locked="0"/>
    </xf>
    <xf numFmtId="15" fontId="0" fillId="0" borderId="0" xfId="0" applyProtection="1">
      <protection locked="0"/>
    </xf>
    <xf numFmtId="15" fontId="4" fillId="0" borderId="52" xfId="0" applyFont="1" applyBorder="1" applyProtection="1"/>
    <xf numFmtId="170" fontId="4" fillId="0" borderId="38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center"/>
    </xf>
    <xf numFmtId="1" fontId="4" fillId="0" borderId="31" xfId="0" applyNumberFormat="1" applyFont="1" applyFill="1" applyBorder="1" applyAlignment="1" applyProtection="1">
      <alignment horizontal="center"/>
    </xf>
    <xf numFmtId="167" fontId="4" fillId="2" borderId="10" xfId="0" applyNumberFormat="1" applyFont="1" applyFill="1" applyBorder="1" applyProtection="1"/>
    <xf numFmtId="1" fontId="4" fillId="2" borderId="24" xfId="0" applyNumberFormat="1" applyFont="1" applyFill="1" applyBorder="1" applyProtection="1"/>
    <xf numFmtId="1" fontId="4" fillId="2" borderId="0" xfId="0" applyNumberFormat="1" applyFont="1" applyFill="1" applyBorder="1" applyProtection="1"/>
    <xf numFmtId="1" fontId="4" fillId="2" borderId="10" xfId="0" applyNumberFormat="1" applyFont="1" applyFill="1" applyBorder="1" applyProtection="1"/>
    <xf numFmtId="170" fontId="4" fillId="0" borderId="10" xfId="0" applyNumberFormat="1" applyFont="1" applyFill="1" applyBorder="1" applyProtection="1"/>
    <xf numFmtId="170" fontId="4" fillId="0" borderId="75" xfId="0" applyNumberFormat="1" applyFont="1" applyFill="1" applyBorder="1" applyProtection="1"/>
    <xf numFmtId="170" fontId="4" fillId="0" borderId="88" xfId="0" applyNumberFormat="1" applyFont="1" applyBorder="1" applyProtection="1"/>
    <xf numFmtId="2" fontId="30" fillId="0" borderId="52" xfId="0" applyNumberFormat="1" applyFont="1" applyBorder="1" applyAlignment="1" applyProtection="1">
      <alignment horizontal="center"/>
    </xf>
    <xf numFmtId="170" fontId="4" fillId="0" borderId="45" xfId="0" applyNumberFormat="1" applyFont="1" applyBorder="1" applyProtection="1"/>
    <xf numFmtId="170" fontId="4" fillId="0" borderId="19" xfId="0" applyNumberFormat="1" applyFont="1" applyBorder="1" applyProtection="1"/>
    <xf numFmtId="170" fontId="4" fillId="0" borderId="73" xfId="0" applyNumberFormat="1" applyFont="1" applyFill="1" applyBorder="1" applyProtection="1"/>
    <xf numFmtId="170" fontId="4" fillId="0" borderId="52" xfId="0" applyNumberFormat="1" applyFont="1" applyBorder="1" applyProtection="1"/>
    <xf numFmtId="170" fontId="4" fillId="0" borderId="38" xfId="0" applyNumberFormat="1" applyFont="1" applyBorder="1" applyProtection="1"/>
    <xf numFmtId="170" fontId="4" fillId="0" borderId="10" xfId="0" applyNumberFormat="1" applyFont="1" applyBorder="1" applyProtection="1"/>
    <xf numFmtId="15" fontId="7" fillId="0" borderId="0" xfId="0" applyFont="1"/>
    <xf numFmtId="15" fontId="36" fillId="0" borderId="0" xfId="0" applyFont="1"/>
    <xf numFmtId="170" fontId="4" fillId="0" borderId="23" xfId="0" applyNumberFormat="1" applyFont="1" applyFill="1" applyBorder="1"/>
    <xf numFmtId="170" fontId="29" fillId="0" borderId="11" xfId="0" applyNumberFormat="1" applyFont="1" applyBorder="1" applyProtection="1">
      <protection locked="0"/>
    </xf>
    <xf numFmtId="168" fontId="3" fillId="0" borderId="0" xfId="0" applyNumberFormat="1" applyFont="1" applyAlignment="1">
      <alignment vertical="center"/>
    </xf>
    <xf numFmtId="15" fontId="4" fillId="0" borderId="0" xfId="0" applyFont="1" applyFill="1"/>
    <xf numFmtId="15" fontId="0" fillId="0" borderId="6" xfId="0" applyNumberFormat="1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8" fontId="0" fillId="3" borderId="127" xfId="0" applyNumberFormat="1" applyFont="1" applyFill="1" applyBorder="1" applyProtection="1">
      <protection locked="0"/>
    </xf>
    <xf numFmtId="15" fontId="0" fillId="3" borderId="166" xfId="0" applyFont="1" applyFill="1" applyBorder="1" applyAlignment="1" applyProtection="1">
      <alignment horizontal="center"/>
      <protection locked="0"/>
    </xf>
    <xf numFmtId="168" fontId="4" fillId="0" borderId="93" xfId="0" applyNumberFormat="1" applyFont="1" applyBorder="1" applyAlignment="1">
      <alignment horizontal="center" vertical="center"/>
    </xf>
    <xf numFmtId="170" fontId="4" fillId="3" borderId="84" xfId="0" applyNumberFormat="1" applyFont="1" applyFill="1" applyBorder="1" applyProtection="1">
      <protection locked="0"/>
    </xf>
    <xf numFmtId="15" fontId="4" fillId="3" borderId="122" xfId="0" applyFont="1" applyFill="1" applyBorder="1" applyAlignment="1" applyProtection="1">
      <alignment horizontal="center"/>
      <protection locked="0"/>
    </xf>
    <xf numFmtId="15" fontId="4" fillId="3" borderId="121" xfId="0" applyFont="1" applyFill="1" applyBorder="1" applyAlignment="1" applyProtection="1">
      <alignment horizontal="center"/>
      <protection locked="0"/>
    </xf>
    <xf numFmtId="15" fontId="0" fillId="3" borderId="168" xfId="0" applyNumberFormat="1" applyFill="1" applyBorder="1" applyAlignment="1" applyProtection="1">
      <alignment horizontal="center"/>
      <protection locked="0"/>
    </xf>
    <xf numFmtId="15" fontId="0" fillId="3" borderId="169" xfId="0" applyNumberFormat="1" applyFill="1" applyBorder="1" applyAlignment="1" applyProtection="1">
      <alignment horizontal="center"/>
      <protection locked="0"/>
    </xf>
    <xf numFmtId="15" fontId="0" fillId="3" borderId="121" xfId="0" applyFill="1" applyBorder="1" applyAlignment="1" applyProtection="1">
      <alignment horizontal="center"/>
      <protection locked="0"/>
    </xf>
    <xf numFmtId="15" fontId="0" fillId="3" borderId="124" xfId="0" applyFill="1" applyBorder="1" applyAlignment="1" applyProtection="1">
      <alignment horizontal="center"/>
      <protection locked="0"/>
    </xf>
    <xf numFmtId="169" fontId="43" fillId="0" borderId="170" xfId="21" quotePrefix="1" applyNumberFormat="1" applyFont="1" applyBorder="1" applyAlignment="1">
      <alignment horizontal="right" vertical="center" wrapText="1"/>
    </xf>
    <xf numFmtId="6" fontId="43" fillId="0" borderId="170" xfId="22" applyNumberFormat="1" applyFont="1" applyBorder="1" applyAlignment="1">
      <alignment horizontal="right" vertical="center"/>
    </xf>
    <xf numFmtId="169" fontId="43" fillId="0" borderId="170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71" xfId="0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Font="1" applyBorder="1"/>
    <xf numFmtId="15" fontId="0" fillId="0" borderId="0" xfId="0" applyNumberFormat="1" applyFont="1"/>
    <xf numFmtId="3" fontId="0" fillId="0" borderId="163" xfId="0" applyNumberFormat="1" applyFont="1" applyBorder="1"/>
    <xf numFmtId="0" fontId="43" fillId="0" borderId="140" xfId="20" applyFont="1" applyBorder="1" applyAlignment="1">
      <alignment horizontal="center" vertical="top"/>
    </xf>
    <xf numFmtId="3" fontId="0" fillId="0" borderId="172" xfId="0" applyNumberFormat="1" applyFont="1" applyBorder="1"/>
    <xf numFmtId="3" fontId="0" fillId="0" borderId="162" xfId="0" applyNumberFormat="1" applyFont="1" applyBorder="1"/>
    <xf numFmtId="3" fontId="0" fillId="0" borderId="120" xfId="0" applyNumberFormat="1" applyFont="1" applyBorder="1"/>
    <xf numFmtId="15" fontId="0" fillId="0" borderId="0" xfId="0" applyFont="1"/>
    <xf numFmtId="15" fontId="0" fillId="0" borderId="0" xfId="0" applyFont="1" applyAlignment="1">
      <alignment wrapText="1"/>
    </xf>
    <xf numFmtId="3" fontId="0" fillId="0" borderId="140" xfId="0" applyNumberFormat="1" applyFont="1" applyBorder="1" applyAlignment="1">
      <alignment horizontal="center"/>
    </xf>
    <xf numFmtId="3" fontId="0" fillId="0" borderId="140" xfId="0" applyNumberFormat="1" applyFon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12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53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29" xfId="0" applyFill="1" applyBorder="1" applyAlignment="1" applyProtection="1">
      <alignment horizontal="center"/>
      <protection locked="0"/>
    </xf>
    <xf numFmtId="0" fontId="7" fillId="0" borderId="44" xfId="22" applyFont="1" applyBorder="1" applyAlignment="1">
      <alignment vertical="center"/>
    </xf>
    <xf numFmtId="0" fontId="4" fillId="0" borderId="8" xfId="22" applyFont="1" applyBorder="1" applyAlignment="1">
      <alignment vertical="center"/>
    </xf>
    <xf numFmtId="15" fontId="4" fillId="0" borderId="9" xfId="0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  <protection locked="0"/>
    </xf>
    <xf numFmtId="1" fontId="4" fillId="0" borderId="31" xfId="0" applyNumberFormat="1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/>
    <xf numFmtId="1" fontId="4" fillId="0" borderId="10" xfId="0" applyNumberFormat="1" applyFont="1" applyFill="1" applyBorder="1"/>
    <xf numFmtId="15" fontId="4" fillId="0" borderId="10" xfId="0" applyFont="1" applyFill="1" applyBorder="1"/>
    <xf numFmtId="170" fontId="4" fillId="0" borderId="38" xfId="0" applyNumberFormat="1" applyFont="1" applyFill="1" applyBorder="1" applyProtection="1">
      <protection locked="0"/>
    </xf>
    <xf numFmtId="170" fontId="4" fillId="0" borderId="10" xfId="0" applyNumberFormat="1" applyFont="1" applyFill="1" applyBorder="1" applyProtection="1">
      <protection locked="0"/>
    </xf>
    <xf numFmtId="170" fontId="4" fillId="0" borderId="75" xfId="0" applyNumberFormat="1" applyFont="1" applyFill="1" applyBorder="1" applyProtection="1">
      <protection locked="0"/>
    </xf>
    <xf numFmtId="170" fontId="4" fillId="0" borderId="10" xfId="0" applyNumberFormat="1" applyFont="1" applyFill="1" applyBorder="1"/>
    <xf numFmtId="2" fontId="30" fillId="0" borderId="94" xfId="0" applyNumberFormat="1" applyFont="1" applyFill="1" applyBorder="1" applyAlignment="1">
      <alignment horizontal="center"/>
    </xf>
    <xf numFmtId="170" fontId="4" fillId="0" borderId="46" xfId="0" applyNumberFormat="1" applyFont="1" applyFill="1" applyBorder="1"/>
    <xf numFmtId="170" fontId="4" fillId="0" borderId="19" xfId="0" applyNumberFormat="1" applyFont="1" applyFill="1" applyBorder="1"/>
    <xf numFmtId="170" fontId="4" fillId="0" borderId="73" xfId="0" applyNumberFormat="1" applyFont="1" applyFill="1" applyBorder="1" applyProtection="1">
      <protection locked="0"/>
    </xf>
    <xf numFmtId="2" fontId="30" fillId="0" borderId="75" xfId="0" applyNumberFormat="1" applyFont="1" applyFill="1" applyBorder="1" applyAlignment="1">
      <alignment horizontal="center"/>
    </xf>
    <xf numFmtId="170" fontId="4" fillId="0" borderId="22" xfId="0" applyNumberFormat="1" applyFont="1" applyFill="1" applyBorder="1"/>
    <xf numFmtId="170" fontId="4" fillId="0" borderId="11" xfId="0" applyNumberFormat="1" applyFont="1" applyFill="1" applyBorder="1"/>
    <xf numFmtId="170" fontId="4" fillId="0" borderId="45" xfId="0" applyNumberFormat="1" applyFont="1" applyFill="1" applyBorder="1" applyProtection="1">
      <protection locked="0"/>
    </xf>
    <xf numFmtId="170" fontId="4" fillId="0" borderId="38" xfId="0" applyNumberFormat="1" applyFont="1" applyFill="1" applyBorder="1"/>
    <xf numFmtId="8" fontId="4" fillId="0" borderId="94" xfId="0" applyNumberFormat="1" applyFont="1" applyFill="1" applyBorder="1"/>
    <xf numFmtId="167" fontId="4" fillId="0" borderId="1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1" fontId="4" fillId="0" borderId="32" xfId="0" applyNumberFormat="1" applyFont="1" applyFill="1" applyBorder="1" applyAlignment="1" applyProtection="1">
      <alignment horizontal="center"/>
      <protection locked="0"/>
    </xf>
    <xf numFmtId="167" fontId="4" fillId="0" borderId="11" xfId="0" applyNumberFormat="1" applyFont="1" applyFill="1" applyBorder="1"/>
    <xf numFmtId="1" fontId="4" fillId="0" borderId="11" xfId="0" applyNumberFormat="1" applyFont="1" applyFill="1" applyBorder="1"/>
    <xf numFmtId="15" fontId="4" fillId="0" borderId="11" xfId="0" applyFont="1" applyFill="1" applyBorder="1"/>
    <xf numFmtId="170" fontId="4" fillId="0" borderId="22" xfId="0" applyNumberFormat="1" applyFont="1" applyFill="1" applyBorder="1" applyProtection="1">
      <protection locked="0"/>
    </xf>
    <xf numFmtId="170" fontId="4" fillId="0" borderId="11" xfId="0" applyNumberFormat="1" applyFont="1" applyFill="1" applyBorder="1" applyProtection="1">
      <protection locked="0"/>
    </xf>
    <xf numFmtId="170" fontId="4" fillId="0" borderId="51" xfId="0" applyNumberFormat="1" applyFont="1" applyFill="1" applyBorder="1" applyProtection="1">
      <protection locked="0"/>
    </xf>
    <xf numFmtId="2" fontId="30" fillId="0" borderId="95" xfId="0" applyNumberFormat="1" applyFont="1" applyFill="1" applyBorder="1" applyAlignment="1">
      <alignment horizontal="center"/>
    </xf>
    <xf numFmtId="170" fontId="4" fillId="0" borderId="14" xfId="0" applyNumberFormat="1" applyFont="1" applyFill="1" applyBorder="1"/>
    <xf numFmtId="170" fontId="4" fillId="0" borderId="12" xfId="0" applyNumberFormat="1" applyFont="1" applyFill="1" applyBorder="1" applyProtection="1">
      <protection locked="0"/>
    </xf>
    <xf numFmtId="2" fontId="30" fillId="0" borderId="51" xfId="0" applyNumberFormat="1" applyFont="1" applyFill="1" applyBorder="1" applyAlignment="1">
      <alignment horizontal="center"/>
    </xf>
    <xf numFmtId="170" fontId="4" fillId="0" borderId="46" xfId="0" applyNumberFormat="1" applyFont="1" applyFill="1" applyBorder="1" applyProtection="1">
      <protection locked="0"/>
    </xf>
    <xf numFmtId="15" fontId="4" fillId="0" borderId="161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101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" fontId="4" fillId="2" borderId="24" xfId="0" applyNumberFormat="1" applyFont="1" applyFill="1" applyBorder="1"/>
    <xf numFmtId="170" fontId="4" fillId="0" borderId="103" xfId="0" applyNumberFormat="1" applyFont="1" applyBorder="1"/>
    <xf numFmtId="8" fontId="4" fillId="0" borderId="30" xfId="0" applyNumberFormat="1" applyFont="1" applyBorder="1"/>
    <xf numFmtId="8" fontId="4" fillId="0" borderId="29" xfId="0" applyNumberFormat="1" applyFont="1" applyBorder="1"/>
    <xf numFmtId="8" fontId="4" fillId="0" borderId="34" xfId="0" applyNumberFormat="1" applyFont="1" applyBorder="1"/>
    <xf numFmtId="1" fontId="34" fillId="3" borderId="173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Fill="1" applyBorder="1" applyAlignment="1" applyProtection="1">
      <alignment horizontal="center"/>
      <protection locked="0"/>
    </xf>
    <xf numFmtId="15" fontId="4" fillId="0" borderId="75" xfId="0" applyFont="1" applyFill="1" applyBorder="1"/>
    <xf numFmtId="170" fontId="4" fillId="0" borderId="88" xfId="0" applyNumberFormat="1" applyFont="1" applyFill="1" applyBorder="1"/>
    <xf numFmtId="2" fontId="30" fillId="0" borderId="31" xfId="0" applyNumberFormat="1" applyFont="1" applyFill="1" applyBorder="1" applyAlignment="1">
      <alignment horizontal="center"/>
    </xf>
    <xf numFmtId="170" fontId="4" fillId="0" borderId="45" xfId="0" applyNumberFormat="1" applyFont="1" applyFill="1" applyBorder="1"/>
    <xf numFmtId="170" fontId="4" fillId="0" borderId="75" xfId="0" applyNumberFormat="1" applyFont="1" applyFill="1" applyBorder="1"/>
    <xf numFmtId="15" fontId="3" fillId="0" borderId="0" xfId="0" applyFont="1" applyFill="1" applyBorder="1" applyAlignment="1">
      <alignment horizontal="left" wrapText="1"/>
    </xf>
    <xf numFmtId="15" fontId="4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right"/>
    </xf>
    <xf numFmtId="15" fontId="0" fillId="0" borderId="0" xfId="0" quotePrefix="1" applyFont="1" applyFill="1" applyBorder="1" applyAlignment="1">
      <alignment horizontal="center"/>
    </xf>
    <xf numFmtId="170" fontId="4" fillId="0" borderId="0" xfId="0" applyNumberFormat="1" applyFont="1" applyFill="1" applyBorder="1" applyAlignment="1" applyProtection="1">
      <alignment horizontal="left" wrapText="1"/>
      <protection locked="0"/>
    </xf>
    <xf numFmtId="170" fontId="4" fillId="0" borderId="0" xfId="0" applyNumberFormat="1" applyFont="1" applyFill="1" applyBorder="1" applyAlignment="1"/>
    <xf numFmtId="15" fontId="0" fillId="0" borderId="0" xfId="0" applyFill="1" applyBorder="1" applyAlignment="1"/>
    <xf numFmtId="170" fontId="0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36" fillId="0" borderId="0" xfId="0" applyNumberFormat="1" applyFont="1" applyFill="1" applyBorder="1" applyAlignment="1" applyProtection="1">
      <alignment horizontal="center"/>
      <protection locked="0"/>
    </xf>
    <xf numFmtId="1" fontId="34" fillId="0" borderId="0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Font="1" applyFill="1" applyBorder="1" applyAlignment="1" applyProtection="1">
      <alignment horizontal="left" wrapText="1"/>
      <protection locked="0"/>
    </xf>
    <xf numFmtId="15" fontId="0" fillId="0" borderId="0" xfId="0" applyFill="1" applyBorder="1" applyAlignment="1">
      <alignment wrapText="1"/>
    </xf>
    <xf numFmtId="0" fontId="4" fillId="5" borderId="8" xfId="22" applyFont="1" applyFill="1" applyBorder="1" applyAlignment="1">
      <alignment vertical="center" wrapText="1"/>
    </xf>
    <xf numFmtId="170" fontId="4" fillId="0" borderId="19" xfId="0" applyNumberFormat="1" applyFont="1" applyFill="1" applyBorder="1" applyProtection="1">
      <protection locked="0"/>
    </xf>
    <xf numFmtId="170" fontId="0" fillId="0" borderId="6" xfId="0" applyNumberFormat="1" applyBorder="1" applyAlignment="1">
      <alignment horizontal="right"/>
    </xf>
    <xf numFmtId="15" fontId="0" fillId="0" borderId="8" xfId="0" applyBorder="1" applyAlignment="1">
      <alignment horizontal="center"/>
    </xf>
    <xf numFmtId="175" fontId="0" fillId="0" borderId="8" xfId="0" applyNumberFormat="1" applyBorder="1" applyAlignment="1">
      <alignment horizontal="center"/>
    </xf>
    <xf numFmtId="15" fontId="0" fillId="3" borderId="123" xfId="0" applyNumberFormat="1" applyFill="1" applyBorder="1" applyAlignment="1" applyProtection="1">
      <alignment horizontal="left"/>
      <protection locked="0"/>
    </xf>
    <xf numFmtId="8" fontId="0" fillId="3" borderId="167" xfId="0" applyNumberFormat="1" applyFill="1" applyBorder="1" applyProtection="1">
      <protection locked="0"/>
    </xf>
    <xf numFmtId="168" fontId="4" fillId="4" borderId="103" xfId="0" applyNumberFormat="1" applyFont="1" applyFill="1" applyBorder="1" applyProtection="1">
      <protection locked="0"/>
    </xf>
    <xf numFmtId="168" fontId="4" fillId="0" borderId="101" xfId="0" applyNumberFormat="1" applyFont="1" applyBorder="1"/>
    <xf numFmtId="168" fontId="4" fillId="0" borderId="174" xfId="0" applyNumberFormat="1" applyFont="1" applyBorder="1" applyAlignment="1">
      <alignment wrapText="1"/>
    </xf>
    <xf numFmtId="168" fontId="0" fillId="0" borderId="174" xfId="0" applyNumberFormat="1" applyFont="1" applyBorder="1" applyAlignment="1">
      <alignment wrapText="1"/>
    </xf>
    <xf numFmtId="168" fontId="4" fillId="0" borderId="82" xfId="0" applyNumberFormat="1" applyFont="1" applyBorder="1" applyAlignment="1">
      <alignment wrapText="1"/>
    </xf>
    <xf numFmtId="168" fontId="3" fillId="0" borderId="49" xfId="0" applyNumberFormat="1" applyFont="1" applyBorder="1" applyAlignment="1">
      <alignment wrapText="1"/>
    </xf>
    <xf numFmtId="168" fontId="7" fillId="0" borderId="105" xfId="0" applyNumberFormat="1" applyFont="1" applyBorder="1" applyAlignment="1">
      <alignment wrapText="1"/>
    </xf>
    <xf numFmtId="170" fontId="4" fillId="3" borderId="175" xfId="0" applyNumberFormat="1" applyFont="1" applyFill="1" applyBorder="1" applyAlignment="1" applyProtection="1">
      <alignment horizontal="left" wrapText="1"/>
      <protection locked="0"/>
    </xf>
    <xf numFmtId="170" fontId="4" fillId="3" borderId="176" xfId="0" applyNumberFormat="1" applyFont="1" applyFill="1" applyBorder="1" applyProtection="1">
      <protection locked="0"/>
    </xf>
    <xf numFmtId="170" fontId="4" fillId="3" borderId="177" xfId="0" applyNumberFormat="1" applyFont="1" applyFill="1" applyBorder="1" applyProtection="1">
      <protection locked="0"/>
    </xf>
    <xf numFmtId="170" fontId="4" fillId="3" borderId="156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93" xfId="0" applyNumberFormat="1" applyFont="1" applyBorder="1"/>
    <xf numFmtId="170" fontId="4" fillId="0" borderId="75" xfId="0" applyNumberFormat="1" applyFont="1" applyBorder="1"/>
    <xf numFmtId="15" fontId="0" fillId="0" borderId="3" xfId="0" applyFill="1" applyBorder="1" applyAlignment="1" applyProtection="1">
      <alignment horizontal="center"/>
      <protection locked="0"/>
    </xf>
    <xf numFmtId="15" fontId="4" fillId="0" borderId="178" xfId="0" applyFont="1" applyBorder="1"/>
    <xf numFmtId="15" fontId="0" fillId="0" borderId="0" xfId="0" applyAlignment="1">
      <alignment vertical="center"/>
    </xf>
    <xf numFmtId="170" fontId="4" fillId="3" borderId="179" xfId="0" applyNumberFormat="1" applyFont="1" applyFill="1" applyBorder="1" applyAlignment="1" applyProtection="1">
      <alignment horizontal="left" wrapText="1"/>
      <protection locked="0"/>
    </xf>
    <xf numFmtId="170" fontId="4" fillId="3" borderId="151" xfId="0" applyNumberFormat="1" applyFont="1" applyFill="1" applyBorder="1" applyProtection="1">
      <protection locked="0"/>
    </xf>
    <xf numFmtId="170" fontId="4" fillId="3" borderId="180" xfId="0" applyNumberFormat="1" applyFont="1" applyFill="1" applyBorder="1" applyProtection="1">
      <protection locked="0"/>
    </xf>
    <xf numFmtId="170" fontId="4" fillId="3" borderId="181" xfId="0" applyNumberFormat="1" applyFont="1" applyFill="1" applyBorder="1" applyProtection="1">
      <protection locked="0"/>
    </xf>
    <xf numFmtId="170" fontId="4" fillId="0" borderId="151" xfId="0" applyNumberFormat="1" applyFont="1" applyBorder="1" applyProtection="1">
      <protection locked="0"/>
    </xf>
    <xf numFmtId="170" fontId="4" fillId="0" borderId="182" xfId="0" applyNumberFormat="1" applyFont="1" applyBorder="1" applyProtection="1">
      <protection locked="0"/>
    </xf>
    <xf numFmtId="170" fontId="4" fillId="0" borderId="128" xfId="0" applyNumberFormat="1" applyFont="1" applyBorder="1" applyProtection="1">
      <protection locked="0"/>
    </xf>
    <xf numFmtId="15" fontId="0" fillId="0" borderId="181" xfId="0" applyBorder="1" applyProtection="1">
      <protection locked="0"/>
    </xf>
    <xf numFmtId="0" fontId="43" fillId="0" borderId="8" xfId="21" applyFont="1" applyFill="1" applyBorder="1" applyAlignment="1">
      <alignment vertical="center"/>
    </xf>
    <xf numFmtId="168" fontId="7" fillId="0" borderId="174" xfId="0" applyNumberFormat="1" applyFont="1" applyBorder="1" applyAlignment="1">
      <alignment wrapText="1"/>
    </xf>
    <xf numFmtId="168" fontId="19" fillId="2" borderId="0" xfId="0" applyNumberFormat="1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9" fontId="19" fillId="2" borderId="0" xfId="0" applyNumberFormat="1" applyFont="1" applyFill="1" applyBorder="1" applyAlignment="1">
      <alignment vertical="center"/>
    </xf>
    <xf numFmtId="168" fontId="33" fillId="2" borderId="0" xfId="0" applyNumberFormat="1" applyFont="1" applyFill="1" applyAlignment="1">
      <alignment vertical="center"/>
    </xf>
    <xf numFmtId="15" fontId="33" fillId="2" borderId="0" xfId="0" applyNumberFormat="1" applyFont="1" applyFill="1" applyAlignment="1">
      <alignment vertical="center"/>
    </xf>
    <xf numFmtId="168" fontId="22" fillId="0" borderId="0" xfId="0" applyNumberFormat="1" applyFont="1" applyBorder="1" applyAlignment="1">
      <alignment vertical="center"/>
    </xf>
    <xf numFmtId="1" fontId="19" fillId="0" borderId="0" xfId="0" applyNumberFormat="1" applyFont="1" applyBorder="1" applyAlignment="1">
      <alignment vertical="center"/>
    </xf>
    <xf numFmtId="168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9" fontId="24" fillId="0" borderId="0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NumberFormat="1" applyFont="1" applyAlignment="1">
      <alignment vertical="center"/>
    </xf>
    <xf numFmtId="171" fontId="23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NumberFormat="1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41" fillId="0" borderId="0" xfId="0" applyNumberFormat="1" applyFont="1" applyAlignment="1">
      <alignment horizontal="right" vertical="center"/>
    </xf>
    <xf numFmtId="168" fontId="6" fillId="0" borderId="183" xfId="0" applyNumberFormat="1" applyFont="1" applyBorder="1" applyAlignment="1">
      <alignment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183" xfId="0" applyNumberFormat="1" applyFont="1" applyBorder="1" applyAlignment="1">
      <alignment vertical="center"/>
    </xf>
    <xf numFmtId="168" fontId="4" fillId="0" borderId="184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72" xfId="0" applyNumberFormat="1" applyFont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Font="1" applyAlignment="1">
      <alignment vertical="center"/>
    </xf>
    <xf numFmtId="168" fontId="9" fillId="0" borderId="0" xfId="0" applyNumberFormat="1" applyFont="1" applyBorder="1" applyAlignment="1">
      <alignment vertical="center"/>
    </xf>
    <xf numFmtId="8" fontId="5" fillId="0" borderId="185" xfId="0" applyNumberFormat="1" applyFont="1" applyBorder="1" applyAlignment="1">
      <alignment vertical="center"/>
    </xf>
    <xf numFmtId="168" fontId="18" fillId="0" borderId="0" xfId="0" applyNumberFormat="1" applyFont="1" applyAlignment="1">
      <alignment vertical="center"/>
    </xf>
    <xf numFmtId="15" fontId="43" fillId="0" borderId="8" xfId="0" applyFont="1" applyBorder="1" applyAlignment="1">
      <alignment vertical="center"/>
    </xf>
    <xf numFmtId="3" fontId="4" fillId="0" borderId="0" xfId="0" quotePrefix="1" applyNumberFormat="1" applyFont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3" fillId="0" borderId="57" xfId="0" applyNumberFormat="1" applyFont="1" applyBorder="1" applyAlignment="1">
      <alignment vertical="center"/>
    </xf>
    <xf numFmtId="168" fontId="4" fillId="0" borderId="57" xfId="0" applyNumberFormat="1" applyFont="1" applyBorder="1" applyAlignment="1">
      <alignment vertical="center"/>
    </xf>
    <xf numFmtId="168" fontId="4" fillId="0" borderId="62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71" xfId="0" applyNumberFormat="1" applyFont="1" applyBorder="1" applyAlignment="1">
      <alignment vertical="center"/>
    </xf>
    <xf numFmtId="168" fontId="6" fillId="0" borderId="0" xfId="0" applyNumberFormat="1" applyFont="1" applyBorder="1" applyAlignment="1">
      <alignment horizontal="left" vertical="center"/>
    </xf>
    <xf numFmtId="168" fontId="6" fillId="0" borderId="186" xfId="0" applyNumberFormat="1" applyFont="1" applyBorder="1" applyAlignment="1">
      <alignment vertical="center"/>
    </xf>
    <xf numFmtId="168" fontId="0" fillId="0" borderId="100" xfId="0" applyNumberFormat="1" applyBorder="1" applyAlignment="1">
      <alignment vertical="center"/>
    </xf>
    <xf numFmtId="168" fontId="4" fillId="0" borderId="52" xfId="0" applyNumberFormat="1" applyFont="1" applyBorder="1" applyAlignment="1">
      <alignment vertical="center"/>
    </xf>
    <xf numFmtId="8" fontId="4" fillId="0" borderId="76" xfId="0" applyNumberFormat="1" applyFon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81" xfId="0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172" fontId="4" fillId="0" borderId="0" xfId="0" applyNumberFormat="1" applyFont="1" applyAlignment="1">
      <alignment vertical="center"/>
    </xf>
    <xf numFmtId="3" fontId="31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8" fontId="4" fillId="0" borderId="5" xfId="0" applyNumberFormat="1" applyFont="1" applyBorder="1" applyAlignment="1">
      <alignment horizontal="right" vertical="center"/>
    </xf>
    <xf numFmtId="168" fontId="44" fillId="0" borderId="156" xfId="0" applyNumberFormat="1" applyFont="1" applyBorder="1" applyAlignment="1">
      <alignment vertical="center"/>
    </xf>
    <xf numFmtId="168" fontId="8" fillId="0" borderId="156" xfId="0" applyNumberFormat="1" applyFont="1" applyBorder="1" applyAlignment="1">
      <alignment vertical="center"/>
    </xf>
    <xf numFmtId="168" fontId="8" fillId="0" borderId="0" xfId="0" applyNumberFormat="1" applyFont="1" applyBorder="1" applyAlignment="1">
      <alignment vertical="center"/>
    </xf>
    <xf numFmtId="168" fontId="4" fillId="0" borderId="7" xfId="0" applyNumberFormat="1" applyFont="1" applyBorder="1" applyAlignment="1">
      <alignment vertical="center"/>
    </xf>
    <xf numFmtId="168" fontId="8" fillId="0" borderId="181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7" fillId="0" borderId="0" xfId="0" quotePrefix="1" applyNumberFormat="1" applyFont="1" applyAlignment="1">
      <alignment vertical="center"/>
    </xf>
    <xf numFmtId="168" fontId="4" fillId="0" borderId="187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87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88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72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vertical="center"/>
    </xf>
    <xf numFmtId="168" fontId="4" fillId="0" borderId="189" xfId="0" quotePrefix="1" applyNumberFormat="1" applyFont="1" applyBorder="1" applyAlignment="1">
      <alignment vertical="center"/>
    </xf>
    <xf numFmtId="168" fontId="4" fillId="0" borderId="190" xfId="0" quotePrefix="1" applyNumberFormat="1" applyFont="1" applyBorder="1" applyAlignment="1">
      <alignment vertical="center"/>
    </xf>
    <xf numFmtId="168" fontId="4" fillId="0" borderId="63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82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5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72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91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89" xfId="0" applyNumberFormat="1" applyFont="1" applyBorder="1" applyAlignment="1">
      <alignment vertical="center"/>
    </xf>
    <xf numFmtId="168" fontId="4" fillId="0" borderId="119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93" xfId="0" applyNumberFormat="1" applyFont="1" applyBorder="1" applyAlignment="1">
      <alignment vertical="center"/>
    </xf>
    <xf numFmtId="168" fontId="4" fillId="0" borderId="193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0" fillId="0" borderId="193" xfId="0" applyNumberForma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194" xfId="0" quotePrefix="1" applyNumberFormat="1" applyFont="1" applyBorder="1" applyAlignment="1">
      <alignment vertical="center"/>
    </xf>
    <xf numFmtId="8" fontId="4" fillId="0" borderId="70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70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18" fillId="0" borderId="0" xfId="0" applyNumberFormat="1" applyFont="1" applyAlignment="1">
      <alignment vertical="center"/>
    </xf>
    <xf numFmtId="0" fontId="43" fillId="5" borderId="8" xfId="21" applyFont="1" applyFill="1" applyBorder="1" applyAlignment="1">
      <alignment vertical="center" wrapText="1"/>
    </xf>
    <xf numFmtId="168" fontId="0" fillId="0" borderId="8" xfId="0" applyNumberFormat="1" applyFont="1" applyBorder="1" applyAlignment="1">
      <alignment vertical="center"/>
    </xf>
    <xf numFmtId="168" fontId="0" fillId="0" borderId="8" xfId="0" quotePrefix="1" applyNumberFormat="1" applyFont="1" applyBorder="1" applyAlignment="1">
      <alignment vertical="center"/>
    </xf>
    <xf numFmtId="168" fontId="4" fillId="0" borderId="8" xfId="0" quotePrefix="1" applyNumberFormat="1" applyFont="1" applyBorder="1" applyAlignment="1">
      <alignment vertical="center"/>
    </xf>
    <xf numFmtId="8" fontId="4" fillId="0" borderId="195" xfId="0" applyNumberFormat="1" applyFont="1" applyBorder="1" applyAlignment="1">
      <alignment vertical="center"/>
    </xf>
    <xf numFmtId="168" fontId="4" fillId="0" borderId="0" xfId="0" quotePrefix="1" applyNumberFormat="1" applyFont="1" applyBorder="1" applyAlignment="1">
      <alignment vertical="center"/>
    </xf>
    <xf numFmtId="16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Border="1" applyAlignment="1">
      <alignment vertical="center"/>
    </xf>
    <xf numFmtId="170" fontId="0" fillId="6" borderId="19" xfId="0" applyNumberFormat="1" applyFont="1" applyFill="1" applyBorder="1" applyProtection="1">
      <protection locked="0"/>
    </xf>
    <xf numFmtId="170" fontId="0" fillId="6" borderId="165" xfId="0" applyNumberFormat="1" applyFont="1" applyFill="1" applyBorder="1" applyProtection="1">
      <protection locked="0"/>
    </xf>
    <xf numFmtId="8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0" xfId="0" applyNumberFormat="1" applyAlignment="1">
      <alignment horizontal="left" vertical="center"/>
    </xf>
    <xf numFmtId="15" fontId="32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5" fillId="0" borderId="0" xfId="0" applyFont="1"/>
    <xf numFmtId="170" fontId="4" fillId="6" borderId="46" xfId="0" applyNumberFormat="1" applyFont="1" applyFill="1" applyBorder="1" applyProtection="1">
      <protection locked="0"/>
    </xf>
    <xf numFmtId="174" fontId="4" fillId="2" borderId="0" xfId="0" applyNumberFormat="1" applyFont="1" applyFill="1" applyBorder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4" fontId="4" fillId="2" borderId="5" xfId="0" applyNumberFormat="1" applyFont="1" applyFill="1" applyBorder="1"/>
    <xf numFmtId="8" fontId="18" fillId="0" borderId="0" xfId="0" applyNumberFormat="1" applyFont="1" applyBorder="1"/>
    <xf numFmtId="8" fontId="18" fillId="0" borderId="184" xfId="0" applyNumberFormat="1" applyFont="1" applyBorder="1"/>
    <xf numFmtId="1" fontId="4" fillId="0" borderId="62" xfId="0" applyNumberFormat="1" applyFont="1" applyBorder="1" applyAlignment="1">
      <alignment horizontal="center"/>
    </xf>
    <xf numFmtId="170" fontId="0" fillId="3" borderId="179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5" fontId="0" fillId="0" borderId="9" xfId="0" applyFont="1" applyBorder="1" applyAlignment="1">
      <alignment horizontal="center"/>
    </xf>
    <xf numFmtId="168" fontId="3" fillId="0" borderId="0" xfId="0" applyNumberFormat="1" applyFont="1" applyBorder="1" applyAlignment="1">
      <alignment vertical="center"/>
    </xf>
    <xf numFmtId="168" fontId="4" fillId="0" borderId="185" xfId="0" applyNumberFormat="1" applyFont="1" applyBorder="1" applyAlignment="1">
      <alignment vertical="center"/>
    </xf>
    <xf numFmtId="15" fontId="0" fillId="2" borderId="0" xfId="0" applyNumberFormat="1" applyFill="1" applyAlignment="1">
      <alignment vertical="center"/>
    </xf>
    <xf numFmtId="15" fontId="4" fillId="6" borderId="24" xfId="0" applyFont="1" applyFill="1" applyBorder="1" applyAlignment="1" applyProtection="1">
      <alignment horizontal="center"/>
    </xf>
    <xf numFmtId="0" fontId="46" fillId="0" borderId="8" xfId="21" applyFont="1" applyFill="1" applyBorder="1" applyAlignment="1">
      <alignment vertic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6" borderId="0" xfId="0" applyNumberFormat="1" applyFill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0" fillId="0" borderId="192" xfId="0" applyNumberFormat="1" applyBorder="1" applyAlignment="1">
      <alignment vertical="center"/>
    </xf>
    <xf numFmtId="168" fontId="5" fillId="0" borderId="0" xfId="0" applyNumberFormat="1" applyFont="1" applyBorder="1" applyAlignment="1">
      <alignment horizontal="left" vertical="center"/>
    </xf>
    <xf numFmtId="168" fontId="47" fillId="0" borderId="0" xfId="0" applyNumberFormat="1" applyFont="1" applyAlignment="1">
      <alignment vertical="center"/>
    </xf>
    <xf numFmtId="1" fontId="0" fillId="0" borderId="15" xfId="0" applyNumberFormat="1" applyBorder="1" applyAlignment="1">
      <alignment horizontal="right"/>
    </xf>
    <xf numFmtId="8" fontId="0" fillId="3" borderId="127" xfId="0" applyNumberFormat="1" applyFill="1" applyBorder="1" applyProtection="1">
      <protection locked="0"/>
    </xf>
    <xf numFmtId="170" fontId="0" fillId="3" borderId="175" xfId="0" applyNumberFormat="1" applyFill="1" applyBorder="1" applyAlignment="1" applyProtection="1">
      <alignment horizontal="left" wrapText="1"/>
      <protection locked="0"/>
    </xf>
    <xf numFmtId="168" fontId="0" fillId="0" borderId="44" xfId="0" applyNumberFormat="1" applyBorder="1" applyAlignment="1">
      <alignment vertical="center"/>
    </xf>
    <xf numFmtId="0" fontId="7" fillId="0" borderId="0" xfId="22" applyFont="1" applyBorder="1" applyAlignment="1">
      <alignment vertical="center"/>
    </xf>
    <xf numFmtId="0" fontId="43" fillId="0" borderId="0" xfId="21" applyFont="1" applyFill="1" applyBorder="1" applyAlignment="1">
      <alignment vertical="center"/>
    </xf>
    <xf numFmtId="168" fontId="0" fillId="0" borderId="0" xfId="0" applyNumberFormat="1" applyFont="1" applyBorder="1" applyAlignment="1">
      <alignment vertical="center"/>
    </xf>
    <xf numFmtId="0" fontId="4" fillId="0" borderId="8" xfId="21" applyFont="1" applyFill="1" applyBorder="1" applyAlignment="1">
      <alignment vertical="center"/>
    </xf>
    <xf numFmtId="168" fontId="49" fillId="0" borderId="174" xfId="0" applyNumberFormat="1" applyFont="1" applyBorder="1" applyAlignment="1">
      <alignment wrapText="1"/>
    </xf>
    <xf numFmtId="15" fontId="0" fillId="0" borderId="0" xfId="0" applyAlignment="1">
      <alignment vertical="center"/>
    </xf>
    <xf numFmtId="168" fontId="0" fillId="0" borderId="16" xfId="0" applyNumberFormat="1" applyBorder="1" applyAlignment="1">
      <alignment horizontal="right" wrapText="1"/>
    </xf>
    <xf numFmtId="168" fontId="16" fillId="0" borderId="0" xfId="0" applyNumberFormat="1" applyFont="1" applyAlignment="1">
      <alignment wrapText="1"/>
    </xf>
    <xf numFmtId="8" fontId="4" fillId="0" borderId="2" xfId="0" applyNumberFormat="1" applyFont="1" applyBorder="1" applyAlignment="1">
      <alignment vertical="center"/>
    </xf>
    <xf numFmtId="8" fontId="9" fillId="0" borderId="57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8" fontId="3" fillId="6" borderId="63" xfId="0" applyNumberFormat="1" applyFont="1" applyFill="1" applyBorder="1" applyAlignment="1">
      <alignment horizontal="left"/>
    </xf>
    <xf numFmtId="8" fontId="4" fillId="6" borderId="12" xfId="0" applyNumberFormat="1" applyFont="1" applyFill="1" applyBorder="1"/>
    <xf numFmtId="8" fontId="4" fillId="6" borderId="64" xfId="0" applyNumberFormat="1" applyFont="1" applyFill="1" applyBorder="1"/>
    <xf numFmtId="8" fontId="4" fillId="6" borderId="79" xfId="0" applyNumberFormat="1" applyFont="1" applyFill="1" applyBorder="1"/>
    <xf numFmtId="8" fontId="4" fillId="6" borderId="65" xfId="0" applyNumberFormat="1" applyFont="1" applyFill="1" applyBorder="1"/>
    <xf numFmtId="8" fontId="4" fillId="6" borderId="0" xfId="0" applyNumberFormat="1" applyFont="1" applyFill="1"/>
    <xf numFmtId="168" fontId="50" fillId="6" borderId="0" xfId="0" applyNumberFormat="1" applyFont="1" applyFill="1" applyBorder="1" applyAlignment="1">
      <alignment horizontal="left" vertical="center"/>
    </xf>
    <xf numFmtId="168" fontId="51" fillId="6" borderId="0" xfId="0" applyNumberFormat="1" applyFont="1" applyFill="1" applyAlignment="1">
      <alignment vertical="center"/>
    </xf>
    <xf numFmtId="168" fontId="51" fillId="6" borderId="0" xfId="0" applyNumberFormat="1" applyFont="1" applyFill="1" applyBorder="1" applyAlignment="1">
      <alignment vertical="center"/>
    </xf>
    <xf numFmtId="168" fontId="52" fillId="6" borderId="0" xfId="0" applyNumberFormat="1" applyFont="1" applyFill="1" applyBorder="1" applyAlignment="1">
      <alignment vertical="center"/>
    </xf>
    <xf numFmtId="168" fontId="53" fillId="6" borderId="0" xfId="0" applyNumberFormat="1" applyFont="1" applyFill="1" applyAlignment="1">
      <alignment horizontal="right" vertical="center"/>
    </xf>
    <xf numFmtId="168" fontId="54" fillId="6" borderId="183" xfId="0" applyNumberFormat="1" applyFont="1" applyFill="1" applyBorder="1" applyAlignment="1">
      <alignment vertical="center"/>
    </xf>
    <xf numFmtId="1" fontId="48" fillId="6" borderId="121" xfId="0" applyNumberFormat="1" applyFont="1" applyFill="1" applyBorder="1" applyAlignment="1" applyProtection="1">
      <alignment horizontal="center"/>
      <protection locked="0"/>
    </xf>
    <xf numFmtId="167" fontId="4" fillId="6" borderId="152" xfId="0" applyNumberFormat="1" applyFont="1" applyFill="1" applyBorder="1" applyAlignment="1" applyProtection="1">
      <alignment horizontal="center"/>
      <protection locked="0"/>
    </xf>
    <xf numFmtId="8" fontId="4" fillId="3" borderId="158" xfId="0" applyNumberFormat="1" applyFont="1" applyFill="1" applyBorder="1" applyProtection="1">
      <protection locked="0"/>
    </xf>
    <xf numFmtId="8" fontId="4" fillId="3" borderId="196" xfId="0" applyNumberFormat="1" applyFont="1" applyFill="1" applyBorder="1" applyProtection="1">
      <protection locked="0"/>
    </xf>
    <xf numFmtId="8" fontId="4" fillId="3" borderId="159" xfId="0" applyNumberFormat="1" applyFont="1" applyFill="1" applyBorder="1" applyProtection="1">
      <protection locked="0"/>
    </xf>
    <xf numFmtId="8" fontId="4" fillId="3" borderId="197" xfId="0" applyNumberFormat="1" applyFont="1" applyFill="1" applyBorder="1" applyProtection="1">
      <protection locked="0"/>
    </xf>
    <xf numFmtId="1" fontId="34" fillId="6" borderId="88" xfId="0" applyNumberFormat="1" applyFont="1" applyFill="1" applyBorder="1" applyAlignment="1" applyProtection="1">
      <alignment horizontal="center"/>
      <protection locked="0"/>
    </xf>
    <xf numFmtId="15" fontId="0" fillId="0" borderId="66" xfId="0" applyBorder="1" applyAlignment="1">
      <alignment horizontal="center"/>
    </xf>
    <xf numFmtId="167" fontId="4" fillId="0" borderId="134" xfId="0" applyNumberFormat="1" applyFont="1" applyBorder="1"/>
    <xf numFmtId="8" fontId="0" fillId="3" borderId="167" xfId="0" applyNumberFormat="1" applyFill="1" applyBorder="1" applyAlignment="1" applyProtection="1">
      <alignment wrapText="1"/>
      <protection locked="0"/>
    </xf>
    <xf numFmtId="15" fontId="0" fillId="0" borderId="122" xfId="0" applyBorder="1" applyAlignment="1">
      <alignment horizontal="center"/>
    </xf>
    <xf numFmtId="15" fontId="0" fillId="0" borderId="120" xfId="0" applyBorder="1" applyAlignment="1" applyProtection="1">
      <alignment horizontal="center"/>
      <protection locked="0"/>
    </xf>
    <xf numFmtId="15" fontId="0" fillId="0" borderId="124" xfId="0" applyBorder="1" applyAlignment="1">
      <alignment horizontal="center"/>
    </xf>
    <xf numFmtId="15" fontId="0" fillId="0" borderId="120" xfId="0" applyBorder="1" applyAlignment="1">
      <alignment horizontal="center"/>
    </xf>
    <xf numFmtId="168" fontId="0" fillId="0" borderId="107" xfId="0" applyNumberFormat="1" applyFont="1" applyBorder="1" applyAlignment="1">
      <alignment wrapText="1"/>
    </xf>
    <xf numFmtId="168" fontId="4" fillId="0" borderId="0" xfId="0" applyNumberFormat="1" applyFont="1" applyAlignment="1">
      <alignment wrapText="1"/>
    </xf>
    <xf numFmtId="168" fontId="18" fillId="0" borderId="0" xfId="0" applyNumberFormat="1" applyFont="1" applyAlignment="1">
      <alignment wrapText="1"/>
    </xf>
    <xf numFmtId="170" fontId="4" fillId="0" borderId="0" xfId="0" applyNumberFormat="1" applyFont="1" applyProtection="1">
      <protection locked="0"/>
    </xf>
    <xf numFmtId="4" fontId="0" fillId="0" borderId="0" xfId="0" applyNumberFormat="1" applyFont="1"/>
    <xf numFmtId="2" fontId="0" fillId="0" borderId="0" xfId="0" applyNumberFormat="1" applyFont="1"/>
    <xf numFmtId="15" fontId="4" fillId="6" borderId="0" xfId="0" applyFont="1" applyFill="1"/>
    <xf numFmtId="0" fontId="4" fillId="6" borderId="0" xfId="0" applyNumberFormat="1" applyFont="1" applyFill="1"/>
    <xf numFmtId="170" fontId="4" fillId="6" borderId="28" xfId="0" applyNumberFormat="1" applyFont="1" applyFill="1" applyBorder="1"/>
    <xf numFmtId="15" fontId="0" fillId="0" borderId="0" xfId="0" applyAlignment="1">
      <alignment vertical="center"/>
    </xf>
    <xf numFmtId="168" fontId="9" fillId="0" borderId="0" xfId="0" applyNumberFormat="1" applyFont="1" applyAlignment="1">
      <alignment vertical="center"/>
    </xf>
    <xf numFmtId="168" fontId="0" fillId="6" borderId="0" xfId="0" applyNumberFormat="1" applyFill="1" applyAlignment="1">
      <alignment horizontal="left" vertical="center"/>
    </xf>
    <xf numFmtId="168" fontId="0" fillId="6" borderId="0" xfId="0" applyNumberFormat="1" applyFill="1" applyAlignment="1">
      <alignment vertical="center"/>
    </xf>
    <xf numFmtId="168" fontId="0" fillId="0" borderId="0" xfId="0" quotePrefix="1" applyNumberFormat="1" applyAlignment="1">
      <alignment vertical="center"/>
    </xf>
    <xf numFmtId="170" fontId="48" fillId="0" borderId="6" xfId="0" applyNumberFormat="1" applyFont="1" applyBorder="1"/>
    <xf numFmtId="168" fontId="4" fillId="0" borderId="2" xfId="0" applyNumberFormat="1" applyFont="1" applyBorder="1" applyAlignment="1">
      <alignment horizontal="left" vertical="center"/>
    </xf>
    <xf numFmtId="168" fontId="0" fillId="6" borderId="193" xfId="0" applyNumberFormat="1" applyFill="1" applyBorder="1" applyAlignment="1">
      <alignment vertical="center"/>
    </xf>
    <xf numFmtId="170" fontId="0" fillId="0" borderId="0" xfId="0" applyNumberFormat="1"/>
    <xf numFmtId="168" fontId="4" fillId="6" borderId="14" xfId="0" applyNumberFormat="1" applyFont="1" applyFill="1" applyBorder="1" applyAlignment="1">
      <alignment vertical="center"/>
    </xf>
    <xf numFmtId="168" fontId="4" fillId="6" borderId="11" xfId="0" applyNumberFormat="1" applyFont="1" applyFill="1" applyBorder="1" applyAlignment="1">
      <alignment vertical="center"/>
    </xf>
    <xf numFmtId="168" fontId="4" fillId="6" borderId="10" xfId="0" applyNumberFormat="1" applyFont="1" applyFill="1" applyBorder="1" applyAlignment="1">
      <alignment vertical="center"/>
    </xf>
    <xf numFmtId="168" fontId="4" fillId="6" borderId="189" xfId="0" quotePrefix="1" applyNumberFormat="1" applyFont="1" applyFill="1" applyBorder="1" applyAlignment="1">
      <alignment vertical="center"/>
    </xf>
    <xf numFmtId="168" fontId="4" fillId="6" borderId="190" xfId="0" quotePrefix="1" applyNumberFormat="1" applyFont="1" applyFill="1" applyBorder="1" applyAlignment="1">
      <alignment vertical="center"/>
    </xf>
    <xf numFmtId="168" fontId="4" fillId="6" borderId="190" xfId="0" applyNumberFormat="1" applyFont="1" applyFill="1" applyBorder="1" applyAlignment="1">
      <alignment vertical="center"/>
    </xf>
    <xf numFmtId="15" fontId="57" fillId="0" borderId="0" xfId="0" applyFont="1"/>
    <xf numFmtId="15" fontId="58" fillId="0" borderId="0" xfId="0" applyFont="1"/>
    <xf numFmtId="168" fontId="4" fillId="6" borderId="61" xfId="0" quotePrefix="1" applyNumberFormat="1" applyFont="1" applyFill="1" applyBorder="1" applyAlignment="1">
      <alignment vertical="center"/>
    </xf>
    <xf numFmtId="168" fontId="16" fillId="0" borderId="0" xfId="0" applyNumberFormat="1" applyFont="1" applyAlignment="1">
      <alignment wrapText="1"/>
    </xf>
    <xf numFmtId="168" fontId="55" fillId="0" borderId="0" xfId="0" applyNumberFormat="1" applyFont="1" applyAlignment="1">
      <alignment horizontal="center"/>
    </xf>
    <xf numFmtId="15" fontId="56" fillId="0" borderId="0" xfId="0" applyFont="1" applyAlignment="1">
      <alignment horizontal="center"/>
    </xf>
    <xf numFmtId="168" fontId="4" fillId="0" borderId="0" xfId="0" applyNumberFormat="1" applyFont="1" applyAlignment="1">
      <alignment wrapText="1"/>
    </xf>
    <xf numFmtId="168" fontId="4" fillId="0" borderId="0" xfId="0" applyNumberFormat="1" applyFont="1" applyAlignment="1"/>
    <xf numFmtId="168" fontId="26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26" fillId="0" borderId="2" xfId="0" applyNumberFormat="1" applyFont="1" applyBorder="1" applyAlignment="1">
      <alignment vertical="center"/>
    </xf>
    <xf numFmtId="15" fontId="0" fillId="0" borderId="2" xfId="0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5" fontId="35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  <xf numFmtId="15" fontId="3" fillId="0" borderId="187" xfId="0" applyFont="1" applyBorder="1" applyAlignment="1">
      <alignment horizontal="left"/>
    </xf>
    <xf numFmtId="15" fontId="0" fillId="0" borderId="18" xfId="0" applyBorder="1" applyAlignment="1"/>
  </cellXfs>
  <cellStyles count="26">
    <cellStyle name="Comma0" xfId="1"/>
    <cellStyle name="Comma0 2" xfId="2"/>
    <cellStyle name="Comma0 3" xfId="3"/>
    <cellStyle name="Currency0" xfId="4"/>
    <cellStyle name="Currency0 2" xfId="5"/>
    <cellStyle name="Currency0 3" xfId="6"/>
    <cellStyle name="Date" xfId="7"/>
    <cellStyle name="Date 2" xfId="8"/>
    <cellStyle name="Date 3" xfId="9"/>
    <cellStyle name="Fixed" xfId="10"/>
    <cellStyle name="Fixed 2" xfId="11"/>
    <cellStyle name="Fixed 3" xfId="12"/>
    <cellStyle name="Heading 1" xfId="13" builtinId="16" customBuiltin="1"/>
    <cellStyle name="Heading 1 2" xfId="14"/>
    <cellStyle name="Heading 1 3" xfId="15"/>
    <cellStyle name="Heading 2" xfId="16" builtinId="17" customBuiltin="1"/>
    <cellStyle name="Heading 2 2" xfId="17"/>
    <cellStyle name="Heading 2 3" xfId="18"/>
    <cellStyle name="Hyperlink 2" xfId="19"/>
    <cellStyle name="Normal" xfId="0" builtinId="0"/>
    <cellStyle name="Normal 2" xfId="20"/>
    <cellStyle name="Normal 3" xfId="21"/>
    <cellStyle name="Normal 4" xfId="22"/>
    <cellStyle name="Total" xfId="23" builtinId="25" customBuiltin="1"/>
    <cellStyle name="Total 2" xfId="24"/>
    <cellStyle name="Total 3" xfId="25"/>
  </cellStyles>
  <dxfs count="3">
    <dxf>
      <font>
        <strike/>
        <color auto="1"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zoomScale="200" zoomScaleNormal="200" workbookViewId="0">
      <selection activeCell="B18" sqref="B18:E18"/>
    </sheetView>
  </sheetViews>
  <sheetFormatPr defaultColWidth="11.1640625" defaultRowHeight="7"/>
  <cols>
    <col min="1" max="1" width="4.1640625" style="29" customWidth="1"/>
    <col min="2" max="2" width="18.33203125" style="29" customWidth="1"/>
    <col min="3" max="3" width="10.6640625" style="29" customWidth="1"/>
    <col min="4" max="4" width="46.1640625" style="29" customWidth="1"/>
    <col min="5" max="5" width="11.83203125" style="29" customWidth="1"/>
    <col min="6" max="6" width="3.83203125" style="29" customWidth="1"/>
    <col min="7" max="7" width="8.83203125" style="29" customWidth="1"/>
    <col min="8" max="8" width="6.83203125" style="29" customWidth="1"/>
    <col min="9" max="10" width="7.83203125" style="29" customWidth="1"/>
    <col min="11" max="11" width="14.83203125" style="29" customWidth="1"/>
    <col min="12" max="13" width="15.83203125" style="29" customWidth="1"/>
    <col min="14" max="14" width="9.83203125" style="259" customWidth="1"/>
    <col min="15" max="15" width="12.83203125" style="259" customWidth="1"/>
    <col min="16" max="18" width="4" style="259" customWidth="1"/>
    <col min="19" max="20" width="4" style="29" customWidth="1"/>
    <col min="21" max="34" width="11.1640625" style="29" customWidth="1"/>
    <col min="35" max="35" width="9.83203125" style="29" customWidth="1"/>
    <col min="36" max="36" width="11.1640625" style="29" customWidth="1"/>
    <col min="37" max="37" width="11.83203125" style="29" customWidth="1"/>
    <col min="38" max="38" width="10.83203125" style="29" customWidth="1"/>
    <col min="39" max="198" width="11.1640625" style="29" customWidth="1"/>
    <col min="199" max="199" width="1.83203125" style="29" customWidth="1"/>
    <col min="200" max="16384" width="11.1640625" style="29"/>
  </cols>
  <sheetData>
    <row r="1" spans="1:18" ht="13.5" thickBot="1">
      <c r="A1" s="36"/>
      <c r="B1" s="335" t="str">
        <f>Summary!G10</f>
        <v>BANK POSITION THIS YEAR</v>
      </c>
      <c r="C1" s="44"/>
      <c r="D1" s="44"/>
      <c r="E1" s="44"/>
      <c r="G1" s="38"/>
      <c r="H1" s="30"/>
      <c r="K1" s="30"/>
      <c r="M1" s="32"/>
      <c r="N1" s="29"/>
      <c r="O1" s="29"/>
      <c r="P1" s="29"/>
      <c r="Q1" s="29"/>
      <c r="R1" s="29"/>
    </row>
    <row r="2" spans="1:18" ht="13" thickTop="1">
      <c r="A2" s="36"/>
      <c r="B2" s="422" t="s">
        <v>144</v>
      </c>
      <c r="C2" s="614">
        <v>44576</v>
      </c>
      <c r="D2" s="431"/>
      <c r="E2" s="539">
        <v>1250.99</v>
      </c>
      <c r="H2" s="30"/>
      <c r="K2" s="37"/>
      <c r="L2" s="37"/>
      <c r="M2" s="37"/>
      <c r="N2" s="29"/>
      <c r="O2" s="29"/>
      <c r="P2" s="29"/>
      <c r="Q2" s="29"/>
      <c r="R2" s="29"/>
    </row>
    <row r="3" spans="1:18" ht="7.5" thickBot="1">
      <c r="A3" s="36"/>
      <c r="B3" s="428" t="s">
        <v>157</v>
      </c>
      <c r="C3" s="429"/>
      <c r="D3" s="429"/>
      <c r="E3" s="430">
        <f>Summary!L12</f>
        <v>227.41</v>
      </c>
      <c r="G3" s="42"/>
      <c r="H3" s="42"/>
      <c r="I3" s="42"/>
      <c r="J3" s="42"/>
      <c r="K3" s="42"/>
      <c r="L3" s="42"/>
      <c r="M3" s="247"/>
      <c r="N3" s="29"/>
      <c r="O3" s="33"/>
    </row>
    <row r="4" spans="1:18" ht="8.25" hidden="1" customHeight="1">
      <c r="A4" s="36"/>
      <c r="B4" s="34" t="s">
        <v>90</v>
      </c>
      <c r="E4" s="35"/>
      <c r="G4" s="260"/>
      <c r="L4" s="46"/>
    </row>
    <row r="5" spans="1:18" ht="8.65" hidden="1" customHeight="1">
      <c r="A5" s="36"/>
      <c r="B5" s="34"/>
      <c r="C5" s="29">
        <f>Summary!H16</f>
        <v>0</v>
      </c>
      <c r="E5" s="43">
        <f>Summary!L16</f>
        <v>0</v>
      </c>
    </row>
    <row r="6" spans="1:18" ht="8.65" hidden="1" customHeight="1" thickBot="1">
      <c r="A6" s="36"/>
      <c r="B6" s="34"/>
      <c r="C6" s="29">
        <f>Summary!H17</f>
        <v>0</v>
      </c>
      <c r="E6" s="152">
        <f>Summary!L17</f>
        <v>0</v>
      </c>
    </row>
    <row r="7" spans="1:18" ht="8" thickTop="1" thickBot="1">
      <c r="A7" s="36"/>
      <c r="B7" s="39" t="s">
        <v>136</v>
      </c>
      <c r="C7" s="40"/>
      <c r="D7" s="40"/>
      <c r="E7" s="41">
        <f>SUM(E2:E6)</f>
        <v>1478.4</v>
      </c>
    </row>
    <row r="8" spans="1:18" ht="8" thickTop="1" thickBot="1"/>
    <row r="9" spans="1:18" ht="7.5" thickTop="1">
      <c r="A9" s="36"/>
      <c r="B9" s="422" t="s">
        <v>138</v>
      </c>
      <c r="C9" s="423"/>
      <c r="D9" s="423"/>
      <c r="E9" s="424">
        <v>0</v>
      </c>
      <c r="G9" s="42"/>
      <c r="H9" s="42"/>
      <c r="I9" s="42"/>
      <c r="J9" s="245"/>
      <c r="K9" s="42"/>
      <c r="L9" s="42"/>
      <c r="M9" s="42"/>
    </row>
    <row r="10" spans="1:18" ht="7.5" thickBot="1">
      <c r="A10" s="36"/>
      <c r="B10" s="425" t="s">
        <v>137</v>
      </c>
      <c r="C10" s="426"/>
      <c r="D10" s="426"/>
      <c r="E10" s="427"/>
      <c r="G10" s="42"/>
      <c r="H10" s="42"/>
      <c r="I10" s="42"/>
      <c r="J10" s="246"/>
      <c r="K10" s="42"/>
      <c r="L10" s="42"/>
      <c r="M10" s="42"/>
    </row>
    <row r="11" spans="1:18" ht="15" thickTop="1" thickBot="1">
      <c r="B11" s="39"/>
      <c r="C11" s="40"/>
      <c r="D11" s="833" t="str">
        <f>CONCATENATE("Current Balance Calculated from Start Balance + Trip Accounts + Provisions into ",Summary!B1+1)</f>
        <v>Current Balance Calculated from Start Balance + Trip Accounts + Provisions into 2022</v>
      </c>
      <c r="E11" s="41">
        <f>Summary!D13-Summary!D6</f>
        <v>1478.4000000000015</v>
      </c>
    </row>
    <row r="12" spans="1:18" ht="7.5" thickTop="1"/>
    <row r="13" spans="1:18">
      <c r="B13" s="895" t="s">
        <v>139</v>
      </c>
      <c r="C13" s="895"/>
      <c r="D13" s="895"/>
      <c r="E13" s="895"/>
    </row>
    <row r="14" spans="1:18" s="865" customFormat="1" ht="13" customHeight="1">
      <c r="B14" s="894" t="s">
        <v>147</v>
      </c>
      <c r="C14" s="894"/>
      <c r="D14" s="894"/>
      <c r="E14" s="894"/>
      <c r="N14" s="866"/>
      <c r="O14" s="866"/>
      <c r="P14" s="866"/>
      <c r="Q14" s="866"/>
      <c r="R14" s="866"/>
    </row>
    <row r="15" spans="1:18" s="865" customFormat="1" ht="14.5" customHeight="1">
      <c r="B15" s="894" t="s">
        <v>148</v>
      </c>
      <c r="C15" s="894"/>
      <c r="D15" s="894"/>
      <c r="E15" s="894"/>
      <c r="N15" s="866"/>
      <c r="O15" s="866"/>
      <c r="P15" s="866"/>
      <c r="Q15" s="866"/>
      <c r="R15" s="866"/>
    </row>
    <row r="17" spans="2:5">
      <c r="B17" s="895" t="s">
        <v>145</v>
      </c>
      <c r="C17" s="895"/>
      <c r="D17" s="895"/>
      <c r="E17" s="895"/>
    </row>
    <row r="18" spans="2:5" ht="30">
      <c r="B18" s="892" t="str">
        <f>IF(ABS(Summary!A14)&gt;0.0001,"ERROR IN ACCOUNTS","")</f>
        <v/>
      </c>
      <c r="C18" s="893"/>
      <c r="D18" s="893"/>
      <c r="E18" s="893"/>
    </row>
    <row r="19" spans="2:5" ht="20.25" customHeight="1">
      <c r="B19" s="891" t="str">
        <f>IF(ABS(Summary!A14)&gt;0.0001,"In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9" s="891"/>
      <c r="D19" s="891"/>
      <c r="E19" s="891"/>
    </row>
  </sheetData>
  <sheetProtection sheet="1" objects="1" scenarios="1"/>
  <mergeCells count="6">
    <mergeCell ref="B19:E19"/>
    <mergeCell ref="B18:E18"/>
    <mergeCell ref="B14:E14"/>
    <mergeCell ref="B13:E13"/>
    <mergeCell ref="B17:E17"/>
    <mergeCell ref="B15:E15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7"/>
  <sheetViews>
    <sheetView showGridLines="0" showZeros="0" tabSelected="1" topLeftCell="A2" workbookViewId="0">
      <selection activeCell="B14" sqref="B14"/>
    </sheetView>
  </sheetViews>
  <sheetFormatPr defaultColWidth="11.1640625" defaultRowHeight="7"/>
  <cols>
    <col min="1" max="1" width="34.83203125" style="315" customWidth="1"/>
    <col min="2" max="2" width="11.83203125" style="315" customWidth="1"/>
    <col min="3" max="3" width="10.83203125" style="315" customWidth="1"/>
    <col min="4" max="4" width="11.83203125" style="315" customWidth="1"/>
    <col min="5" max="5" width="13.83203125" style="315" customWidth="1"/>
    <col min="6" max="6" width="4.1640625" style="315" customWidth="1"/>
    <col min="7" max="8" width="8.83203125" style="315" customWidth="1"/>
    <col min="9" max="9" width="11.83203125" style="315" customWidth="1"/>
    <col min="10" max="10" width="15.83203125" style="315" customWidth="1"/>
    <col min="11" max="11" width="12.83203125" style="315" customWidth="1"/>
    <col min="12" max="12" width="11.83203125" style="315" customWidth="1"/>
    <col min="13" max="13" width="3.83203125" style="315" customWidth="1"/>
    <col min="14" max="14" width="8.83203125" style="315" customWidth="1"/>
    <col min="15" max="15" width="6.83203125" style="315" customWidth="1"/>
    <col min="16" max="16" width="11" style="315" customWidth="1"/>
    <col min="17" max="17" width="7.83203125" style="315" customWidth="1"/>
    <col min="18" max="18" width="14.83203125" style="315" customWidth="1"/>
    <col min="19" max="19" width="15.83203125" style="315" customWidth="1"/>
    <col min="20" max="20" width="21.83203125" style="315" customWidth="1"/>
    <col min="21" max="21" width="9.83203125" style="685" customWidth="1"/>
    <col min="22" max="22" width="12.83203125" style="685" customWidth="1"/>
    <col min="23" max="25" width="4" style="685" customWidth="1"/>
    <col min="26" max="27" width="4" style="315" customWidth="1"/>
    <col min="28" max="28" width="11.1640625" style="315" customWidth="1"/>
    <col min="29" max="41" width="11.1640625" style="315"/>
    <col min="42" max="42" width="9.83203125" style="315" customWidth="1"/>
    <col min="43" max="43" width="11.1640625" style="315"/>
    <col min="44" max="44" width="11.83203125" style="315" customWidth="1"/>
    <col min="45" max="45" width="10.83203125" style="315" customWidth="1"/>
    <col min="46" max="205" width="11.1640625" style="315"/>
    <col min="206" max="206" width="1.83203125" style="315" customWidth="1"/>
    <col min="207" max="16384" width="11.1640625" style="315"/>
  </cols>
  <sheetData>
    <row r="1" spans="1:28" s="647" customFormat="1" ht="27" hidden="1" customHeight="1">
      <c r="A1" s="643" t="s">
        <v>91</v>
      </c>
      <c r="B1" s="644">
        <v>2021</v>
      </c>
      <c r="C1" s="645" t="s">
        <v>92</v>
      </c>
      <c r="D1" s="645"/>
      <c r="E1" s="646">
        <v>44287</v>
      </c>
      <c r="G1" s="648" t="s">
        <v>95</v>
      </c>
      <c r="H1" s="649"/>
      <c r="I1" s="649"/>
      <c r="J1" s="650">
        <v>0.25</v>
      </c>
      <c r="K1" s="651" t="s">
        <v>129</v>
      </c>
      <c r="L1" s="652"/>
      <c r="S1" s="647" t="s">
        <v>113</v>
      </c>
      <c r="T1" s="813">
        <f ca="1">NOW()</f>
        <v>44598.570814236111</v>
      </c>
    </row>
    <row r="2" spans="1:28" ht="35.25" customHeight="1">
      <c r="A2" s="653" t="s">
        <v>98</v>
      </c>
      <c r="B2" s="654"/>
      <c r="C2" s="655"/>
      <c r="D2" s="655"/>
      <c r="E2" s="656"/>
      <c r="G2" s="657"/>
      <c r="I2" s="658" t="s">
        <v>99</v>
      </c>
      <c r="K2" s="659"/>
      <c r="L2" s="660"/>
      <c r="T2" s="661" t="str">
        <f ca="1">TEXT(T1,"dd mmmmmmm yyy")</f>
        <v>06 February 2022</v>
      </c>
      <c r="U2" s="315"/>
      <c r="V2" s="315"/>
      <c r="W2" s="315"/>
      <c r="X2" s="315"/>
      <c r="Y2" s="315"/>
    </row>
    <row r="3" spans="1:28" ht="28.5" thickBot="1">
      <c r="A3" s="502" t="s">
        <v>0</v>
      </c>
      <c r="C3" s="662" t="s">
        <v>1</v>
      </c>
      <c r="G3" s="502" t="s">
        <v>2</v>
      </c>
      <c r="K3" s="663"/>
      <c r="N3" s="664" t="s">
        <v>3</v>
      </c>
      <c r="O3" s="665"/>
      <c r="U3" s="315"/>
      <c r="V3" s="315"/>
      <c r="W3" s="315"/>
      <c r="X3" s="315"/>
      <c r="Y3" s="315"/>
    </row>
    <row r="4" spans="1:28" ht="12" thickTop="1">
      <c r="A4" s="666" t="str">
        <f>CONCATENATE("TOTAL REAL INCOME IN ",$B$1)</f>
        <v>TOTAL REAL INCOME IN 2021</v>
      </c>
      <c r="B4" s="322"/>
      <c r="C4" s="322"/>
      <c r="D4" s="667">
        <f>B32</f>
        <v>13850</v>
      </c>
      <c r="G4" s="666" t="s">
        <v>7</v>
      </c>
      <c r="H4" s="322"/>
      <c r="I4" s="668">
        <v>44203</v>
      </c>
      <c r="J4" s="322"/>
      <c r="K4" s="322"/>
      <c r="L4" s="669">
        <v>8522.2199999999993</v>
      </c>
      <c r="N4" s="822" t="s">
        <v>189</v>
      </c>
      <c r="U4" s="315"/>
      <c r="V4" s="315"/>
      <c r="W4" s="315"/>
      <c r="X4" s="315"/>
      <c r="Y4" s="315"/>
    </row>
    <row r="5" spans="1:28" ht="13">
      <c r="A5" s="316" t="str">
        <f>CONCATENATE("TOTAL REAL EXPENDITURE IN ",$B$1)</f>
        <v>TOTAL REAL EXPENDITURE IN 2021</v>
      </c>
      <c r="D5" s="673">
        <f>-B52</f>
        <v>-14533.05</v>
      </c>
      <c r="F5" s="674"/>
      <c r="G5" s="316" t="s">
        <v>175</v>
      </c>
      <c r="L5" s="673">
        <v>-111.16999999999999</v>
      </c>
      <c r="P5" s="670"/>
      <c r="S5" s="671" t="str">
        <f>IF(J50-J32&lt;0,"We budgeted for a LOSS of: ",CONCATENATE("We budgeted for an ANNUAL SURPLUS of:"))</f>
        <v xml:space="preserve">We budgeted for a LOSS of: </v>
      </c>
      <c r="T5" s="672">
        <f>ABS(J50-J32)</f>
        <v>1670.9469999999983</v>
      </c>
      <c r="U5" s="315"/>
      <c r="V5" s="315"/>
      <c r="W5" s="315"/>
      <c r="X5" s="315"/>
      <c r="Y5" s="315"/>
    </row>
    <row r="6" spans="1:28" ht="13">
      <c r="A6" s="795" t="str">
        <f>CONCATENATE("NET PROVISIONS FROM ",$B$1," INTO ",$B$1+1)</f>
        <v>NET PROVISIONS FROM 2021 INTO 2022</v>
      </c>
      <c r="D6" s="673">
        <f>-($R$17-$R$18+$T$18-$T$17)</f>
        <v>-125</v>
      </c>
      <c r="E6" s="316"/>
      <c r="F6" s="674"/>
      <c r="G6" s="316"/>
      <c r="L6" s="673"/>
      <c r="O6" s="670"/>
      <c r="P6" s="670"/>
      <c r="R6" s="675"/>
      <c r="S6" s="671" t="str">
        <f>CONCATENATE(IF(D10-D13-C101&gt;0,"We achieved a net ANNUAL LOSS of:","We achieved a net ANNUAL SURPLUS of:"))</f>
        <v>We achieved a net ANNUAL LOSS of:</v>
      </c>
      <c r="T6" s="676">
        <f>ABS(D10-D11)</f>
        <v>557.64999999999964</v>
      </c>
      <c r="U6" s="315"/>
      <c r="V6" s="315"/>
      <c r="W6" s="315"/>
      <c r="X6" s="315"/>
      <c r="Y6" s="315"/>
    </row>
    <row r="7" spans="1:28" ht="11.5">
      <c r="A7" s="677" t="s">
        <v>4</v>
      </c>
      <c r="B7" s="678"/>
      <c r="C7" s="678"/>
      <c r="D7" s="679">
        <f>D4+D5+D6</f>
        <v>-808.04999999999927</v>
      </c>
      <c r="E7" s="316"/>
      <c r="F7" s="674"/>
      <c r="G7" s="677" t="str">
        <f>CONCATENATE("EFFECTIVE BANK BALANCE AT START OF YEAR ",$B$1)</f>
        <v>EFFECTIVE BANK BALANCE AT START OF YEAR 2021</v>
      </c>
      <c r="H7" s="678"/>
      <c r="I7" s="678"/>
      <c r="J7" s="678"/>
      <c r="K7" s="678"/>
      <c r="L7" s="679">
        <f>SUM(L4:L6)</f>
        <v>8411.0499999999993</v>
      </c>
      <c r="N7" s="844" t="s">
        <v>190</v>
      </c>
      <c r="O7" s="845"/>
      <c r="P7" s="845"/>
      <c r="Q7" s="845"/>
      <c r="R7" s="845"/>
      <c r="S7" s="845"/>
      <c r="T7" s="845"/>
      <c r="U7" s="315"/>
      <c r="V7" s="315"/>
      <c r="W7" s="315"/>
      <c r="X7" s="315"/>
      <c r="Y7" s="315"/>
    </row>
    <row r="8" spans="1:28" ht="12.5">
      <c r="A8" s="681" t="str">
        <f>CONCATENATE("SURPLUS ON PROVISIONED ARREARS OF YEAR ",$B$1-1," ACCOUNTS")</f>
        <v>SURPLUS ON PROVISIONED ARREARS OF YEAR 2020 ACCOUNTS</v>
      </c>
      <c r="D8" s="673">
        <f>'PROVISIONS &amp; SUBS'!I33-'PROVISIONS &amp; SUBS'!I45</f>
        <v>250.39999999999964</v>
      </c>
      <c r="E8" s="316"/>
      <c r="F8" s="674"/>
      <c r="G8" s="316" t="str">
        <f>CONCATENATE("PROVISIONS FROM YEAR ",$B$1-1 )</f>
        <v>PROVISIONS FROM YEAR 2020</v>
      </c>
      <c r="J8" s="682"/>
      <c r="L8" s="673">
        <v>-3177</v>
      </c>
      <c r="N8" s="845"/>
      <c r="O8" s="846"/>
      <c r="P8" s="846"/>
      <c r="Q8" s="846"/>
      <c r="R8" s="847"/>
      <c r="S8" s="848" t="str">
        <f>CONCATENATE(IF(D10-D13&gt;0,"We achieved a net ANNUAL LOSS of:","We achieved a net ANNUAL SURPLUS of:"))</f>
        <v>We achieved a net ANNUAL LOSS of:</v>
      </c>
      <c r="T8" s="849">
        <f>ABS(D10-D11)</f>
        <v>557.64999999999964</v>
      </c>
      <c r="U8" s="315"/>
    </row>
    <row r="9" spans="1:28" ht="13" thickBot="1">
      <c r="A9" s="686" t="s">
        <v>180</v>
      </c>
      <c r="D9" s="673"/>
      <c r="E9" s="316"/>
      <c r="F9" s="674"/>
      <c r="G9" s="677" t="str">
        <f>CONCATENATE("BALANCE REPORTED LAST YEAR FOR START OF YEAR ",$B$1)</f>
        <v>BALANCE REPORTED LAST YEAR FOR START OF YEAR 2021</v>
      </c>
      <c r="H9" s="678"/>
      <c r="I9" s="678"/>
      <c r="J9" s="678"/>
      <c r="K9" s="678"/>
      <c r="L9" s="679">
        <f>L7+L8</f>
        <v>5234.0499999999993</v>
      </c>
      <c r="N9" s="655" t="s">
        <v>169</v>
      </c>
      <c r="O9" s="680"/>
      <c r="P9" s="680"/>
      <c r="Q9" s="680"/>
      <c r="R9" s="680"/>
      <c r="S9" s="812"/>
      <c r="T9" s="676">
        <f>$J$32</f>
        <v>1911.0500000000011</v>
      </c>
      <c r="U9" s="315"/>
      <c r="V9" s="877"/>
      <c r="AB9" s="315">
        <f>V6-V9</f>
        <v>0</v>
      </c>
    </row>
    <row r="10" spans="1:28" ht="14" thickTop="1" thickBot="1">
      <c r="A10" s="316" t="s">
        <v>5</v>
      </c>
      <c r="D10" s="688">
        <f>J32</f>
        <v>1911.0500000000011</v>
      </c>
      <c r="E10" s="316"/>
      <c r="F10" s="674"/>
      <c r="G10" s="689" t="s">
        <v>6</v>
      </c>
      <c r="H10" s="690"/>
      <c r="I10" s="690"/>
      <c r="J10" s="690"/>
      <c r="K10" s="690"/>
      <c r="L10" s="690"/>
      <c r="N10" s="694" t="str">
        <f>CONCATENATE("Floating Fund ",IF(T10&lt;J32,"is now down to"," is now up to"),":")</f>
        <v>Floating Fund is now down to:</v>
      </c>
      <c r="O10" s="655"/>
      <c r="P10" s="683"/>
      <c r="Q10" s="655"/>
      <c r="R10" s="680"/>
      <c r="S10" s="684"/>
      <c r="T10" s="695">
        <f>SUM(T9:T9)-(D10-D11)</f>
        <v>1353.4000000000015</v>
      </c>
      <c r="U10" s="315"/>
      <c r="V10" s="877"/>
      <c r="W10" s="315"/>
      <c r="X10" s="315"/>
      <c r="Y10" s="315"/>
    </row>
    <row r="11" spans="1:28" ht="13" thickTop="1">
      <c r="A11" s="691" t="s">
        <v>106</v>
      </c>
      <c r="B11" s="692"/>
      <c r="C11" s="692"/>
      <c r="D11" s="693">
        <f>SUM(D7:D10)</f>
        <v>1353.4000000000015</v>
      </c>
      <c r="E11" s="316"/>
      <c r="F11" s="674"/>
      <c r="G11" s="666" t="s">
        <v>7</v>
      </c>
      <c r="H11" s="322"/>
      <c r="I11" s="668">
        <f>'Di''s Summary'!C2</f>
        <v>44576</v>
      </c>
      <c r="J11" s="322"/>
      <c r="K11" s="322"/>
      <c r="L11" s="669">
        <f>'Di''s Summary'!E2</f>
        <v>1250.99</v>
      </c>
      <c r="P11" s="821" t="str">
        <f>CONCATENATE("(Budget aim was: ",TEXT($J$50,"£0.00"),")")</f>
        <v>(Budget aim was: £240.10)</v>
      </c>
      <c r="U11" s="315"/>
      <c r="V11" s="315"/>
      <c r="W11" s="315"/>
      <c r="X11" s="315"/>
      <c r="Y11" s="315"/>
    </row>
    <row r="12" spans="1:28" ht="7.5" thickBot="1">
      <c r="A12" s="696"/>
      <c r="B12" s="697"/>
      <c r="C12" s="697"/>
      <c r="D12" s="698"/>
      <c r="F12" s="674"/>
      <c r="G12" s="316" t="s">
        <v>132</v>
      </c>
      <c r="L12" s="699">
        <f>TRIP_ACCOUNTS!U146+'LATE BANKING'!AA1+'PROVISIONS &amp; SUBS'!K83</f>
        <v>227.41</v>
      </c>
      <c r="U12" s="315"/>
      <c r="V12" s="670"/>
    </row>
    <row r="13" spans="1:28" ht="8" thickTop="1" thickBot="1">
      <c r="A13" s="701" t="s">
        <v>8</v>
      </c>
      <c r="B13" s="702"/>
      <c r="C13" s="702"/>
      <c r="D13" s="703">
        <f>SUM(D11:D12)</f>
        <v>1353.4000000000015</v>
      </c>
      <c r="F13" s="674"/>
      <c r="G13" s="316"/>
      <c r="I13" s="704"/>
      <c r="L13" s="673"/>
    </row>
    <row r="14" spans="1:28" ht="7.5" thickTop="1">
      <c r="A14" s="315">
        <f>IF(ABS($D$13-$L$18+$R$17-$R$18+$T$18-$T$17)&lt;0.0001,0,B14-D14)</f>
        <v>0</v>
      </c>
      <c r="B14" s="315">
        <f>IF(ABS($D$13-$L$18+$R$17-$R$18+$T$18-$T$17)&lt;0.0001,0,D13)</f>
        <v>0</v>
      </c>
      <c r="C14" s="705"/>
      <c r="D14" s="315">
        <f>IF(ABS($D$13-$L$18+$R$17-$R$18+$T$18-$T$17)&lt;0.0001,0,L18)</f>
        <v>0</v>
      </c>
      <c r="E14" s="674"/>
      <c r="F14" s="674"/>
      <c r="G14" s="316"/>
      <c r="H14" s="794"/>
      <c r="I14" s="687"/>
      <c r="J14" s="706"/>
      <c r="K14" s="707"/>
      <c r="L14" s="708">
        <f>IF(R18="None", 0,-R18)</f>
        <v>0</v>
      </c>
      <c r="N14" s="709" t="s">
        <v>9</v>
      </c>
      <c r="O14" s="710"/>
      <c r="P14" s="710" t="str">
        <f>CONCATENATE(IF($D$17&gt;$C$17,"Days use - down on last year by ","Days used - up on last year by "),ROUND(($D$17-$C$17)/$D$17*IF($D$17&gt;$C$17,1,-1)*100,0),"%")</f>
        <v>Days used - up on last year by 198%</v>
      </c>
      <c r="Q14" s="710"/>
      <c r="R14" s="710"/>
      <c r="S14" s="710"/>
    </row>
    <row r="15" spans="1:28" ht="11" thickBot="1">
      <c r="A15" s="324" t="s">
        <v>11</v>
      </c>
      <c r="F15" s="674"/>
      <c r="G15" s="316"/>
      <c r="H15" s="796"/>
      <c r="L15" s="673"/>
      <c r="N15" s="711"/>
      <c r="O15" s="711"/>
      <c r="P15" s="711" t="s">
        <v>10</v>
      </c>
      <c r="Q15" s="711" t="str">
        <f>CONCATENATE(TRIP_ACCOUNTS!U123," out of ",TRIP_ACCOUNTS!U124, " scheduled weeks" )</f>
        <v>15 out of 17 scheduled weeks</v>
      </c>
      <c r="R15" s="680"/>
      <c r="S15" s="711"/>
      <c r="T15" s="794"/>
    </row>
    <row r="16" spans="1:28" ht="8.65" customHeight="1" thickTop="1">
      <c r="A16" s="666"/>
      <c r="B16" s="322"/>
      <c r="C16" s="666" t="s">
        <v>12</v>
      </c>
      <c r="D16" s="712" t="s">
        <v>13</v>
      </c>
      <c r="E16" s="712" t="s">
        <v>149</v>
      </c>
      <c r="F16" s="674"/>
      <c r="G16" s="316"/>
      <c r="H16" s="674"/>
      <c r="L16" s="673">
        <f>-IF(T17="None", 0,T17)</f>
        <v>0</v>
      </c>
      <c r="N16" s="713"/>
      <c r="O16" s="713"/>
      <c r="P16" s="713"/>
      <c r="Q16" s="713" t="s">
        <v>223</v>
      </c>
      <c r="R16" s="700"/>
      <c r="S16" s="713"/>
    </row>
    <row r="17" spans="1:25" ht="8.65" customHeight="1">
      <c r="A17" s="316" t="s">
        <v>14</v>
      </c>
      <c r="C17" s="714">
        <f>+TRIP_ACCOUNTS!U118</f>
        <v>64</v>
      </c>
      <c r="D17" s="714">
        <v>21.5</v>
      </c>
      <c r="E17" s="715">
        <v>52</v>
      </c>
      <c r="F17" s="674"/>
      <c r="G17" s="316"/>
      <c r="H17" s="674"/>
      <c r="L17" s="673"/>
      <c r="N17" s="716" t="s">
        <v>170</v>
      </c>
      <c r="P17" s="794" t="str">
        <f>CONCATENATE("Rcvd ",Summary!$B$1," due ",Summary!$B$1+1)</f>
        <v>Rcvd 2021 due 2022</v>
      </c>
      <c r="R17" s="875">
        <f>'PROVISIONS &amp; SUBS'!G69</f>
        <v>50</v>
      </c>
      <c r="S17" s="876" t="str">
        <f>CONCATENATE("Due ",Summary!$B$1-2000," to Rcv ",Summary!$B$1+1-2000)</f>
        <v>Due 21 to Rcv 22</v>
      </c>
      <c r="T17" s="875">
        <f>'PROVISIONS &amp; SUBS'!I57</f>
        <v>0</v>
      </c>
    </row>
    <row r="18" spans="1:25" ht="7.5" thickBot="1">
      <c r="A18" s="717" t="s">
        <v>15</v>
      </c>
      <c r="B18" s="718"/>
      <c r="C18" s="719">
        <f>+TRIP_ACCOUNTS!U119</f>
        <v>90.5</v>
      </c>
      <c r="D18" s="719">
        <v>31.5</v>
      </c>
      <c r="E18" s="720">
        <v>135</v>
      </c>
      <c r="F18" s="674"/>
      <c r="G18" s="317" t="str">
        <f ca="1">IF(T1&gt;DATE(B1+1,1,25),"EFFECTIVE YEAR-END BALANCE","CURRENT BALANCE AFTER ALL CHEQUES AND DEPOSITS")</f>
        <v>EFFECTIVE YEAR-END BALANCE</v>
      </c>
      <c r="H18" s="318"/>
      <c r="I18" s="318"/>
      <c r="J18" s="318"/>
      <c r="K18" s="318"/>
      <c r="L18" s="721">
        <f>SUM(L11:L17)</f>
        <v>1478.4</v>
      </c>
      <c r="P18" s="794" t="str">
        <f>CONCATENATE("Paid ",Summary!$B$1," due ",Summary!$B$1+1)</f>
        <v>Paid 2021 due 2022</v>
      </c>
      <c r="Q18" s="794"/>
      <c r="R18" s="875">
        <f>'PROVISIONS &amp; SUBS'!H80</f>
        <v>0</v>
      </c>
      <c r="S18" s="876" t="str">
        <f>CONCATENATE("Due ",Summary!$B$1-2000," to pay ",Summary!$B$1+1-2000)</f>
        <v>Due 21 to pay 22</v>
      </c>
      <c r="T18" s="875">
        <f>'PROVISIONS &amp; SUBS'!I93</f>
        <v>75</v>
      </c>
      <c r="Y18" s="794"/>
    </row>
    <row r="19" spans="1:25" ht="8" thickTop="1" thickBot="1">
      <c r="T19" s="722"/>
    </row>
    <row r="20" spans="1:25" ht="8" thickTop="1" thickBot="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</row>
    <row r="21" spans="1:25" ht="14" thickTop="1" thickBot="1">
      <c r="A21" s="896" t="s">
        <v>16</v>
      </c>
      <c r="D21" s="502" t="s">
        <v>17</v>
      </c>
      <c r="I21" s="666" t="s">
        <v>18</v>
      </c>
      <c r="J21" s="723" t="s">
        <v>19</v>
      </c>
      <c r="K21" s="724" t="s">
        <v>109</v>
      </c>
      <c r="L21" s="667"/>
      <c r="N21" s="725" t="str">
        <f>IF(ABS(K33)&gt;ABS(J27*0.05),IF(K33&lt;0,CONCATENATE("Under Budget by: £",ABS(ROUND(K33,2))),CONCATENATE("Over budget by: £",ABS(ROUND(K33,2)))),IF(K33&lt;0,CONCATENATE("Within 5% of budget; less than budget by: £",ABS(ROUND(K33,2))),CONCATENATE("Within 5% of budget; more than budget by  £",ABS(ROUND(K33,2)))))</f>
        <v>Over budget by: £623.41</v>
      </c>
      <c r="O21" s="725"/>
      <c r="T21" s="725"/>
    </row>
    <row r="22" spans="1:25" ht="10.5" thickTop="1">
      <c r="A22" s="897"/>
      <c r="D22" s="826" t="s">
        <v>234</v>
      </c>
      <c r="E22" s="322"/>
      <c r="F22" s="322"/>
      <c r="G22" s="322"/>
      <c r="H22" s="322"/>
      <c r="I22" s="726">
        <f>B28+B31</f>
        <v>10800</v>
      </c>
      <c r="J22" s="727">
        <f>9*500+7*900</f>
        <v>10800</v>
      </c>
      <c r="K22" s="728">
        <f>I22-J22</f>
        <v>0</v>
      </c>
      <c r="L22" s="729" t="str">
        <f>IF(I22-J22-K22&lt;0.0000001,"","see provisions")</f>
        <v/>
      </c>
      <c r="N22" s="659"/>
      <c r="O22" s="659"/>
      <c r="P22" s="659"/>
    </row>
    <row r="23" spans="1:25" ht="10.5" thickBot="1">
      <c r="A23" s="897"/>
      <c r="D23" s="316" t="s">
        <v>20</v>
      </c>
      <c r="I23" s="728">
        <f>B27</f>
        <v>905</v>
      </c>
      <c r="J23" s="730">
        <v>600</v>
      </c>
      <c r="K23" s="728">
        <f>I23-J23</f>
        <v>305</v>
      </c>
      <c r="L23" s="731" t="str">
        <f>IF(I23-J23-K23&lt;0.0000001,"","see provisions")</f>
        <v/>
      </c>
      <c r="N23" s="659" t="str">
        <f>CONCATENATE("Non participants - (£",K23,")")</f>
        <v>Non participants - (£305)</v>
      </c>
      <c r="R23" s="900" t="s">
        <v>156</v>
      </c>
      <c r="S23" s="897"/>
      <c r="T23" s="897"/>
    </row>
    <row r="24" spans="1:25" ht="11.5" thickTop="1" thickBot="1">
      <c r="A24" s="324" t="s">
        <v>22</v>
      </c>
      <c r="B24" s="712" t="s">
        <v>24</v>
      </c>
      <c r="D24" s="316" t="s">
        <v>21</v>
      </c>
      <c r="E24" s="680"/>
      <c r="F24" s="680"/>
      <c r="G24" s="680"/>
      <c r="H24" s="680"/>
      <c r="I24" s="728">
        <f>B25-B43</f>
        <v>6.5500000000000114</v>
      </c>
      <c r="J24" s="728">
        <v>60</v>
      </c>
      <c r="K24" s="728">
        <f>I24-J24</f>
        <v>-53.449999999999989</v>
      </c>
      <c r="L24" s="731" t="str">
        <f>IF(I24-J24-K24&lt;0.0000001,"","see provisions")</f>
        <v/>
      </c>
      <c r="N24" s="659" t="s">
        <v>150</v>
      </c>
      <c r="O24" s="659"/>
      <c r="R24" s="732"/>
    </row>
    <row r="25" spans="1:25" ht="10.5" thickTop="1">
      <c r="A25" s="666" t="s">
        <v>25</v>
      </c>
      <c r="B25" s="733">
        <f>+TRIP_ACCOUNTS!U126</f>
        <v>375</v>
      </c>
      <c r="D25" s="316" t="s">
        <v>23</v>
      </c>
      <c r="I25" s="728">
        <f>B26-B41</f>
        <v>461.8599999999999</v>
      </c>
      <c r="J25" s="728">
        <v>90</v>
      </c>
      <c r="K25" s="728">
        <f>ROUND(I25-J25,2)</f>
        <v>371.86</v>
      </c>
      <c r="L25" s="731" t="str">
        <f>IF(I25-J25-K25&lt;0.0000001,"","see provisions")</f>
        <v/>
      </c>
      <c r="O25" s="659"/>
    </row>
    <row r="26" spans="1:25">
      <c r="A26" s="316" t="s">
        <v>26</v>
      </c>
      <c r="B26" s="734">
        <f>+TRIP_ACCOUNTS!U127</f>
        <v>1720</v>
      </c>
      <c r="D26" s="316">
        <f>A29</f>
        <v>0</v>
      </c>
      <c r="I26" s="524">
        <f>B29</f>
        <v>0</v>
      </c>
      <c r="J26" s="524"/>
      <c r="K26" s="728">
        <f>ROUND(I26-J26,2)</f>
        <v>0</v>
      </c>
      <c r="L26" s="731"/>
    </row>
    <row r="27" spans="1:25" ht="10.5" thickBot="1">
      <c r="A27" s="316" t="s">
        <v>29</v>
      </c>
      <c r="B27" s="734">
        <f>+TRIP_ACCOUNTS!U128</f>
        <v>905</v>
      </c>
      <c r="D27" s="735" t="str">
        <f>CONCATENATE("ANNUAL INCOME FOR ",$B$1)</f>
        <v>ANNUAL INCOME FOR 2021</v>
      </c>
      <c r="E27" s="736"/>
      <c r="F27" s="736"/>
      <c r="G27" s="736"/>
      <c r="H27" s="736"/>
      <c r="I27" s="737">
        <f>SUM(I22:I26)</f>
        <v>12173.41</v>
      </c>
      <c r="J27" s="737">
        <f>SUM(J22:J26)</f>
        <v>11550</v>
      </c>
      <c r="K27" s="738">
        <f>SUM(K22:K26)</f>
        <v>623.41000000000008</v>
      </c>
      <c r="L27" s="739"/>
      <c r="Q27" s="740">
        <f>+$B$1</f>
        <v>2021</v>
      </c>
      <c r="R27" s="740">
        <v>2020</v>
      </c>
      <c r="S27" s="740">
        <v>2019</v>
      </c>
      <c r="T27" s="740">
        <v>2018</v>
      </c>
    </row>
    <row r="28" spans="1:25" ht="10.5" thickTop="1">
      <c r="A28" s="316" t="s">
        <v>31</v>
      </c>
      <c r="B28" s="734">
        <f>+'PROVISIONS &amp; SUBS'!K16</f>
        <v>4500</v>
      </c>
      <c r="D28" s="691" t="str">
        <f>CONCATENATE("FUNDS BROUGHT FORWARD FROM  ",$B$1-1," BUDGET" )</f>
        <v>FUNDS BROUGHT FORWARD FROM  2020 BUDGET</v>
      </c>
      <c r="E28" s="692"/>
      <c r="F28" s="692"/>
      <c r="G28" s="692"/>
      <c r="H28" s="692"/>
      <c r="I28" s="741"/>
      <c r="J28" s="741"/>
      <c r="K28" s="742"/>
      <c r="L28" s="693"/>
      <c r="N28" s="315" t="s">
        <v>27</v>
      </c>
      <c r="O28" s="743" t="s">
        <v>28</v>
      </c>
      <c r="Q28" s="315">
        <f>(B38+B39)/(C17+0.000001)</f>
        <v>10.776562331616216</v>
      </c>
      <c r="R28" s="315">
        <v>9.4627902575446381</v>
      </c>
      <c r="S28" s="315">
        <v>9.2251921302847659</v>
      </c>
      <c r="T28" s="315">
        <v>11.853594616292881</v>
      </c>
      <c r="U28" s="722"/>
    </row>
    <row r="29" spans="1:25" hidden="1">
      <c r="A29" s="316"/>
      <c r="B29" s="734"/>
      <c r="D29" s="681" t="str">
        <f>CONCATENATE("    Expenses unpaid in ",$B$1-1,", provisioned into ",$B$1)</f>
        <v xml:space="preserve">    Expenses unpaid in 2020, provisioned into 2021</v>
      </c>
      <c r="I29" s="730">
        <f>J29</f>
        <v>0</v>
      </c>
      <c r="J29" s="730"/>
      <c r="K29" s="728">
        <f>J29-I29</f>
        <v>0</v>
      </c>
      <c r="L29" s="688"/>
      <c r="U29" s="722"/>
    </row>
    <row r="30" spans="1:25" ht="10">
      <c r="A30" s="795" t="str">
        <f>CONCATENATE($B$1+1," INCOME RECIEVED EARLY")</f>
        <v>2022 INCOME RECIEVED EARLY</v>
      </c>
      <c r="B30" s="734">
        <f>+'PROVISIONS &amp; SUBS'!G69</f>
        <v>50</v>
      </c>
      <c r="D30" s="681"/>
      <c r="I30" s="730"/>
      <c r="J30" s="730"/>
      <c r="K30" s="728"/>
      <c r="L30" s="688"/>
      <c r="N30" s="315" t="s">
        <v>27</v>
      </c>
      <c r="O30" s="743" t="s">
        <v>30</v>
      </c>
      <c r="Q30" s="315">
        <f>B37/(C17+0.000001)</f>
        <v>7.4487498836132842</v>
      </c>
      <c r="R30" s="315">
        <v>9.2497670116387436</v>
      </c>
      <c r="S30" s="315">
        <v>7.6280767763831383</v>
      </c>
      <c r="T30" s="315">
        <v>8.3573855116681628</v>
      </c>
      <c r="U30" s="722"/>
    </row>
    <row r="31" spans="1:25" ht="10">
      <c r="A31" s="795" t="s">
        <v>263</v>
      </c>
      <c r="B31" s="734">
        <f>'PROVISIONS &amp; SUBS'!K17</f>
        <v>6300</v>
      </c>
      <c r="D31" s="681" t="str">
        <f>CONCATENATE("    Net provision recieved from or paid to year ",$B$1-1)</f>
        <v xml:space="preserve">    Net provision recieved from or paid to year 2020</v>
      </c>
      <c r="H31" s="744"/>
      <c r="I31" s="730">
        <f>J31</f>
        <v>6500</v>
      </c>
      <c r="J31" s="730">
        <f>'PROVISIONS &amp; SUBS'!H28</f>
        <v>6500</v>
      </c>
      <c r="K31" s="728">
        <f>I31-J31</f>
        <v>0</v>
      </c>
      <c r="L31" s="688"/>
      <c r="N31" s="315" t="s">
        <v>32</v>
      </c>
      <c r="O31" s="743" t="s">
        <v>33</v>
      </c>
      <c r="Q31" s="315">
        <f>B42/(TRIP_ACCOUNTS!U123+0.000001)</f>
        <v>24.563331695777887</v>
      </c>
      <c r="R31" s="315">
        <v>12.57142677551046</v>
      </c>
      <c r="S31" s="315">
        <v>29.241664229861314</v>
      </c>
      <c r="T31" s="315">
        <v>27.141109603271687</v>
      </c>
      <c r="U31" s="722"/>
    </row>
    <row r="32" spans="1:25" ht="7.5" thickBot="1">
      <c r="A32" s="317" t="s">
        <v>34</v>
      </c>
      <c r="B32" s="745">
        <f>SUM(B25:B31)</f>
        <v>13850</v>
      </c>
      <c r="D32" s="316" t="str">
        <f>CONCATENATE("    Floating fund brought forward from end of year ",$B$1-1)</f>
        <v xml:space="preserve">    Floating fund brought forward from end of year 2020</v>
      </c>
      <c r="I32" s="730">
        <f>J32</f>
        <v>1911.0500000000011</v>
      </c>
      <c r="J32" s="730">
        <v>1911.0500000000011</v>
      </c>
      <c r="K32" s="728">
        <f>J32-I32</f>
        <v>0</v>
      </c>
      <c r="L32" s="688"/>
    </row>
    <row r="33" spans="1:23" ht="8" thickTop="1" thickBot="1">
      <c r="D33" s="317" t="s">
        <v>35</v>
      </c>
      <c r="E33" s="318"/>
      <c r="F33" s="318"/>
      <c r="G33" s="318"/>
      <c r="H33" s="318"/>
      <c r="I33" s="522">
        <f>SUM(I27:I32)</f>
        <v>20584.46</v>
      </c>
      <c r="J33" s="522">
        <f>SUM(J27:J32)</f>
        <v>19961.050000000003</v>
      </c>
      <c r="K33" s="746">
        <f>SUM(K27:K32)</f>
        <v>623.41000000000008</v>
      </c>
      <c r="L33" s="747"/>
    </row>
    <row r="34" spans="1:23" ht="8" thickTop="1" thickBot="1">
      <c r="A34" s="718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</row>
    <row r="35" spans="1:23" ht="11.5" thickTop="1" thickBot="1">
      <c r="A35" s="324" t="s">
        <v>36</v>
      </c>
      <c r="D35" s="898" t="s">
        <v>37</v>
      </c>
      <c r="E35" s="899"/>
      <c r="F35" s="899"/>
      <c r="G35" s="899"/>
      <c r="H35" s="899"/>
      <c r="I35" s="899"/>
      <c r="J35" s="674"/>
      <c r="K35" s="748" t="str">
        <f>IF(I33-I51&lt;0.01," ",CONCATENATE("Expenditure/Income inbalance by ",TEXT(I33-I51,"£0.00")))</f>
        <v xml:space="preserve"> </v>
      </c>
    </row>
    <row r="36" spans="1:23" ht="9.75" customHeight="1" thickTop="1" thickBot="1">
      <c r="A36" s="666" t="s">
        <v>38</v>
      </c>
      <c r="B36" s="749" t="s">
        <v>24</v>
      </c>
      <c r="D36" s="897"/>
      <c r="E36" s="897"/>
      <c r="F36" s="897"/>
      <c r="G36" s="897"/>
      <c r="H36" s="897"/>
      <c r="I36" s="897"/>
      <c r="N36" s="901" t="str">
        <f>IF(ABS(K48)&gt;ABS(J48*0.05),IF(K48&gt;0,CONCATENATE("Under Budget by: £",ABS(ROUND(K48,2))),CONCATENATE("Over budget by: £",ABS(ROUND(K48,2)))),IF(K48&gt;0,CONCATENATE("Within 5% of budget; less than budget by: £",ABS(ROUND(K48,2))),CONCATENATE("Within 5% of budget; more than budget by only £",ABS(ROUND(K48,2)))))</f>
        <v>Within 5% of budget; less than budget by: £439.89</v>
      </c>
      <c r="O36" s="897"/>
      <c r="P36" s="897"/>
      <c r="Q36" s="897"/>
      <c r="R36" s="897"/>
      <c r="S36" s="897"/>
      <c r="T36" s="897"/>
    </row>
    <row r="37" spans="1:23" ht="8.25" customHeight="1" thickTop="1">
      <c r="A37" s="691" t="s">
        <v>39</v>
      </c>
      <c r="B37" s="733">
        <f>+TRIP_ACCOUNTS!U131</f>
        <v>476.72</v>
      </c>
      <c r="C37" s="316"/>
      <c r="D37" s="897"/>
      <c r="E37" s="897"/>
      <c r="F37" s="897"/>
      <c r="G37" s="897"/>
      <c r="H37" s="897"/>
      <c r="I37" s="897"/>
      <c r="J37" s="680"/>
      <c r="N37" s="897"/>
      <c r="O37" s="897"/>
      <c r="P37" s="897"/>
      <c r="Q37" s="897"/>
      <c r="R37" s="897"/>
      <c r="S37" s="897"/>
      <c r="T37" s="897"/>
      <c r="U37" s="670"/>
    </row>
    <row r="38" spans="1:23" ht="11" thickBot="1">
      <c r="A38" s="795" t="s">
        <v>181</v>
      </c>
      <c r="B38" s="734">
        <f>+TRIP_ACCOUNTS!U132</f>
        <v>533.61</v>
      </c>
      <c r="C38" s="316"/>
      <c r="D38" s="502" t="s">
        <v>42</v>
      </c>
      <c r="E38" s="502"/>
      <c r="O38" s="659" t="str">
        <f>CONCATENATE("CRT Moorings budget ",IF(TRIP_ACCOUNTS!U148/P39&gt;1.05,"TOO SMALL",IF(TRIP_ACCOUNTS!U148/P39&lt;0.95,"OVER ESTIMATED","ABOUT RIGHT")))</f>
        <v>CRT Moorings budget ABOUT RIGHT</v>
      </c>
    </row>
    <row r="39" spans="1:23" ht="11.5" thickTop="1" thickBot="1">
      <c r="A39" s="316" t="s">
        <v>41</v>
      </c>
      <c r="B39" s="734">
        <f>+TRIP_ACCOUNTS!U133</f>
        <v>156.09</v>
      </c>
      <c r="C39" s="316"/>
      <c r="F39" s="502"/>
      <c r="G39" s="502"/>
      <c r="H39" s="502"/>
      <c r="I39" s="666" t="s">
        <v>18</v>
      </c>
      <c r="J39" s="723" t="s">
        <v>19</v>
      </c>
      <c r="K39" s="724" t="s">
        <v>109</v>
      </c>
      <c r="L39" s="667"/>
      <c r="N39" s="748"/>
      <c r="P39" s="751">
        <v>758.1</v>
      </c>
      <c r="Q39" s="659" t="str">
        <f>CONCATENATE("budgeted versus £",TRIP_ACCOUNTS!U148, " spent")</f>
        <v>budgeted versus £795.62 spent</v>
      </c>
    </row>
    <row r="40" spans="1:23" ht="10.5" thickTop="1">
      <c r="A40" s="316" t="s">
        <v>43</v>
      </c>
      <c r="B40" s="734">
        <f>+TRIP_ACCOUNTS!U134</f>
        <v>91.72</v>
      </c>
      <c r="C40" s="316"/>
      <c r="D40" s="666" t="s">
        <v>108</v>
      </c>
      <c r="E40" s="322"/>
      <c r="F40" s="322"/>
      <c r="G40" s="322"/>
      <c r="H40" s="322"/>
      <c r="I40" s="882">
        <f>B47</f>
        <v>2779.42</v>
      </c>
      <c r="J40" s="727">
        <v>2849.9470000000001</v>
      </c>
      <c r="K40" s="726">
        <f t="shared" ref="K40:K47" si="0">J40-I40</f>
        <v>70.527000000000044</v>
      </c>
      <c r="L40" s="750" t="str">
        <f t="shared" ref="L40:L43" si="1">IF(J40-I40=K40,"","see provisions")</f>
        <v/>
      </c>
      <c r="O40" s="659" t="str">
        <f>CONCATENATE("Occasional moorings budget ",IF(TRIP_ACCOUNTS!U150/P41&gt;1.1,"TOO SMALL",IF(TRIP_ACCOUNTS!U150/P41&lt;0.5,"OVER ESTIMATED","ABOUT RIGHT")))</f>
        <v>Occasional moorings budget OVER ESTIMATED</v>
      </c>
      <c r="W40" s="752"/>
    </row>
    <row r="41" spans="1:23" ht="10.5" thickBot="1">
      <c r="A41" s="677" t="s">
        <v>44</v>
      </c>
      <c r="B41" s="753">
        <f>SUM(B37:B40)</f>
        <v>1258.1400000000001</v>
      </c>
      <c r="C41" s="316"/>
      <c r="D41" s="316" t="s">
        <v>111</v>
      </c>
      <c r="I41" s="883">
        <f>L67-D9</f>
        <v>105.31</v>
      </c>
      <c r="J41" s="730">
        <v>400</v>
      </c>
      <c r="K41" s="728">
        <f t="shared" si="0"/>
        <v>294.69</v>
      </c>
      <c r="L41" s="731" t="str">
        <f t="shared" si="1"/>
        <v/>
      </c>
      <c r="P41" s="755">
        <v>1300</v>
      </c>
      <c r="Q41" s="659" t="str">
        <f>CONCATENATE("budgeted versus £",TEXT(TRIP_ACCOUNTS!U150,"0.00")," spent")</f>
        <v>budgeted versus £585.00 spent</v>
      </c>
    </row>
    <row r="42" spans="1:23" ht="10.5" thickTop="1">
      <c r="A42" s="666" t="s">
        <v>45</v>
      </c>
      <c r="B42" s="754">
        <f>+TRIP_ACCOUNTS!U136</f>
        <v>368.45</v>
      </c>
      <c r="C42" s="316"/>
      <c r="D42" s="795" t="s">
        <v>183</v>
      </c>
      <c r="I42" s="883">
        <f>B45</f>
        <v>842.44999999999993</v>
      </c>
      <c r="J42" s="730">
        <f>+D96</f>
        <v>1471</v>
      </c>
      <c r="K42" s="728">
        <f t="shared" si="0"/>
        <v>628.55000000000007</v>
      </c>
      <c r="L42" s="731" t="str">
        <f t="shared" si="1"/>
        <v/>
      </c>
      <c r="O42" s="659" t="str">
        <f>CONCATENATE("Licence budget ",IF(TRIP_ACCOUNTS!U149/P43&gt;1.05,"TOO SMALL",IF(TRIP_ACCOUNTS!U149/P43&lt;0.95,"OVER ESTIMATED","ABOUT RIGHT")))</f>
        <v>Licence budget TOO SMALL</v>
      </c>
    </row>
    <row r="43" spans="1:23" ht="10.5" thickBot="1">
      <c r="A43" s="677" t="s">
        <v>46</v>
      </c>
      <c r="B43" s="753">
        <f>B42</f>
        <v>368.45</v>
      </c>
      <c r="C43" s="316"/>
      <c r="D43" s="795" t="s">
        <v>184</v>
      </c>
      <c r="E43" s="680"/>
      <c r="F43" s="680"/>
      <c r="G43" s="680"/>
      <c r="H43" s="680"/>
      <c r="I43" s="884">
        <f>B48</f>
        <v>0</v>
      </c>
      <c r="J43" s="756">
        <v>0</v>
      </c>
      <c r="K43" s="728">
        <f t="shared" si="0"/>
        <v>0</v>
      </c>
      <c r="L43" s="731" t="str">
        <f t="shared" si="1"/>
        <v/>
      </c>
      <c r="P43" s="751">
        <v>1057.8800000000001</v>
      </c>
      <c r="Q43" s="659" t="str">
        <f>CONCATENATE("budgeted versus £",TEXT(TRIP_ACCOUNTS!U149,"0.00"), " spent")</f>
        <v>budgeted versus £1125.89 spent</v>
      </c>
    </row>
    <row r="44" spans="1:23" ht="11" thickTop="1" thickBot="1">
      <c r="A44" s="666" t="s">
        <v>47</v>
      </c>
      <c r="B44" s="667"/>
      <c r="C44" s="316"/>
      <c r="D44" s="316" t="s">
        <v>48</v>
      </c>
      <c r="I44" s="883"/>
      <c r="J44" s="730">
        <v>0</v>
      </c>
      <c r="K44" s="728">
        <f t="shared" si="0"/>
        <v>0</v>
      </c>
      <c r="L44" s="731" t="str">
        <f>IF(J44-I44=K44,"","see provisions")</f>
        <v/>
      </c>
      <c r="O44" s="659" t="str">
        <f>CONCATENATE("Insurance budget ",IF(TRIP_ACCOUNTS!U147/P45&gt;1.05,"TOO SMALL",IF(TRIP_ACCOUNTS!U147/P45&lt;0.95,"OVER ESTIMATED","ABOUT RIGHT")))</f>
        <v>Insurance budget ABOUT RIGHT</v>
      </c>
    </row>
    <row r="45" spans="1:23" ht="10.5" thickTop="1">
      <c r="A45" s="691" t="s">
        <v>49</v>
      </c>
      <c r="B45" s="885">
        <f>+TRIP_ACCOUNTS!U138</f>
        <v>842.44999999999993</v>
      </c>
      <c r="C45" s="316"/>
      <c r="D45" s="795" t="s">
        <v>224</v>
      </c>
      <c r="I45" s="883">
        <f>B50</f>
        <v>9179.2800000000007</v>
      </c>
      <c r="J45" s="730">
        <v>8500</v>
      </c>
      <c r="K45" s="728">
        <f t="shared" si="0"/>
        <v>-679.28000000000065</v>
      </c>
      <c r="L45" s="757" t="str">
        <f>IF(J45-I45=K45,"","see provisions")</f>
        <v/>
      </c>
      <c r="P45" s="751">
        <v>283.45</v>
      </c>
      <c r="Q45" s="659" t="str">
        <f>CONCATENATE("budgeted versus £",TEXT(TRIP_ACCOUNTS!U147,"0.00"), " spent")</f>
        <v>budgeted versus £272.91 spent</v>
      </c>
    </row>
    <row r="46" spans="1:23" ht="10">
      <c r="A46" s="795" t="s">
        <v>182</v>
      </c>
      <c r="B46" s="886">
        <f>+'OTHER COSTS'!BT41</f>
        <v>105.30999999999999</v>
      </c>
      <c r="C46" s="316"/>
      <c r="D46" s="795" t="str">
        <f>CONCATENATE("Provisioned into ",$B$1+1)</f>
        <v>Provisioned into 2022</v>
      </c>
      <c r="I46" s="730">
        <f>$R$17-$R$18+$T$18-$T$17</f>
        <v>125</v>
      </c>
      <c r="J46" s="524"/>
      <c r="K46" s="728">
        <f t="shared" si="0"/>
        <v>-125</v>
      </c>
      <c r="L46" s="731" t="str">
        <f>IF(J46-I46=K46,"","provisions")</f>
        <v/>
      </c>
      <c r="O46" s="659" t="str">
        <f>CONCATENATE("Emergencies &amp; unplanned budgets ",IF(I41/J41&gt;1.1,"TOO SMALL",IF(I41/J41&lt;0.5,"OVER ESTIMATED","ABOUT RIGHT")))</f>
        <v>Emergencies &amp; unplanned budgets OVER ESTIMATED</v>
      </c>
    </row>
    <row r="47" spans="1:23" ht="10">
      <c r="A47" s="316" t="s">
        <v>51</v>
      </c>
      <c r="B47" s="886">
        <f>+TRIP_ACCOUNTS!U141</f>
        <v>2779.42</v>
      </c>
      <c r="C47" s="680"/>
      <c r="D47" s="681" t="str">
        <f>CONCATENATE("Outlay against provision from ",$B$1-1,", received in ",$B$1)</f>
        <v>Outlay against provision from 2020, received in 2021</v>
      </c>
      <c r="H47" s="744"/>
      <c r="I47" s="730">
        <f>'PROVISIONS &amp; SUBS'!G28</f>
        <v>6249.6</v>
      </c>
      <c r="J47" s="730">
        <f>'PROVISIONS &amp; SUBS'!H28</f>
        <v>6500</v>
      </c>
      <c r="K47" s="728">
        <f t="shared" si="0"/>
        <v>250.39999999999964</v>
      </c>
      <c r="L47" s="731"/>
      <c r="P47" s="751" t="str">
        <f>CONCATENATE("£",TEXT(ABS(J41),"0.00")," budgeted, £",TEXT(ABS(K41),"0.00"),IF(K41&gt;0, " unused"," overspent"))</f>
        <v>£400.00 budgeted, £294.69 unused</v>
      </c>
      <c r="R47" s="758"/>
      <c r="T47" s="777" t="s">
        <v>174</v>
      </c>
    </row>
    <row r="48" spans="1:23" ht="10.5" thickBot="1">
      <c r="A48" s="316" t="s">
        <v>126</v>
      </c>
      <c r="B48" s="886">
        <f>'OTHER COSTS'!BT48</f>
        <v>0</v>
      </c>
      <c r="D48" s="735" t="str">
        <f>CONCATENATE("ANNUAL EXPENDITURE (EX RUNNING COSTS) FOR ",$B$1)</f>
        <v>ANNUAL EXPENDITURE (EX RUNNING COSTS) FOR 2021</v>
      </c>
      <c r="E48" s="736"/>
      <c r="F48" s="736"/>
      <c r="G48" s="736"/>
      <c r="H48" s="736"/>
      <c r="I48" s="737">
        <f>SUM(I40:I47)</f>
        <v>19281.060000000001</v>
      </c>
      <c r="J48" s="737">
        <f>SUM(J40:J47)</f>
        <v>19720.947</v>
      </c>
      <c r="K48" s="738">
        <f>SUM(K40:K47)</f>
        <v>439.88699999999903</v>
      </c>
      <c r="L48" s="739"/>
      <c r="O48" s="659" t="str">
        <f>CONCATENATE("Scheduled maintenance budgets ",IF(-(K42+K46)&gt;200,"TOO SMALL",IF(K42+K46&gt;200,"OVER ESTIMATED","ABOUT RIGHT")))</f>
        <v>Scheduled maintenance budgets OVER ESTIMATED</v>
      </c>
    </row>
    <row r="49" spans="1:27" ht="10.5" thickTop="1">
      <c r="A49" s="316" t="s">
        <v>52</v>
      </c>
      <c r="B49" s="887">
        <v>0</v>
      </c>
      <c r="D49" s="691"/>
      <c r="E49" s="692"/>
      <c r="F49" s="692"/>
      <c r="G49" s="692"/>
      <c r="H49" s="692"/>
      <c r="I49" s="741"/>
      <c r="J49" s="741"/>
      <c r="K49" s="742"/>
      <c r="L49" s="693"/>
      <c r="P49" s="659" t="str">
        <f>CONCATENATE("£",TEXT(ABS(J42),"0.00")," budgeted, ",TEXT(ABS(K42),"£0.00"),IF(K42&lt;0," overspent"," unused"))</f>
        <v>£1471.00 budgeted, £628.55 unused</v>
      </c>
      <c r="T49" s="777" t="s">
        <v>174</v>
      </c>
    </row>
    <row r="50" spans="1:27" ht="10">
      <c r="A50" s="795" t="s">
        <v>80</v>
      </c>
      <c r="B50" s="886">
        <f>+TRIP_ACCOUNTS!U140</f>
        <v>9179.2800000000007</v>
      </c>
      <c r="C50" s="316"/>
      <c r="D50" s="316" t="str">
        <f>CONCATENATE("CARRIED FORWARD INTO ",$B$1+1," - End of ",$B$1," floating fund")</f>
        <v>CARRIED FORWARD INTO 2022 - End of 2021 floating fund</v>
      </c>
      <c r="I50" s="730">
        <f>D13</f>
        <v>1353.4000000000015</v>
      </c>
      <c r="J50" s="730">
        <f>J33-J48</f>
        <v>240.10300000000279</v>
      </c>
      <c r="K50" s="728">
        <f>I50-J50</f>
        <v>1113.2969999999987</v>
      </c>
      <c r="L50" s="688"/>
      <c r="O50" s="874" t="str">
        <f>CONCATENATE("Boat Painting budget ",IF(I45/J45&gt;1.1,"TOO SMALL",IF(I45/J45&lt;0.5,"OVER ESTIMATED","ABOUT RIGHT")))</f>
        <v>Boat Painting budget ABOUT RIGHT</v>
      </c>
    </row>
    <row r="51" spans="1:27" ht="10.5" thickBot="1">
      <c r="A51" s="696" t="str">
        <f>CONCATENATE($B$1+1," EXPENDITURE PAID EARLY")</f>
        <v>2022 EXPENDITURE PAID EARLY</v>
      </c>
      <c r="B51" s="890">
        <f>'PROVISIONS &amp; SUBS'!G80</f>
        <v>0</v>
      </c>
      <c r="C51" s="316"/>
      <c r="D51" s="317" t="s">
        <v>56</v>
      </c>
      <c r="E51" s="318"/>
      <c r="F51" s="318"/>
      <c r="G51" s="318"/>
      <c r="H51" s="318"/>
      <c r="I51" s="522">
        <f>SUM(I48:I50)</f>
        <v>20634.460000000003</v>
      </c>
      <c r="J51" s="522">
        <f>SUM(J48:J50)</f>
        <v>19961.050000000003</v>
      </c>
      <c r="K51" s="746">
        <f>J51-I51</f>
        <v>-673.40999999999985</v>
      </c>
      <c r="L51" s="761"/>
      <c r="P51" s="751" t="str">
        <f>CONCATENATE("£",TEXT(ABS(J45),"0.00")," budgeted, £",TEXT(ABS(K45),"0.00"),IF(K45&gt;0, " unused"," overspent"))</f>
        <v>£8500.00 budgeted, £679.28 overspent</v>
      </c>
      <c r="R51" s="758"/>
      <c r="U51" s="315"/>
    </row>
    <row r="52" spans="1:27" ht="11" thickTop="1" thickBot="1">
      <c r="A52" s="691" t="s">
        <v>53</v>
      </c>
      <c r="B52" s="759">
        <f>SUM(B43:B51)+B41</f>
        <v>14533.05</v>
      </c>
      <c r="C52" s="316"/>
      <c r="L52" s="879"/>
      <c r="O52" s="874" t="str">
        <f>CONCATENATE("Provisions from last year ",IF(I47/J47&gt;1.1,"TOO SMALL",IF(I47/J47&lt;0.5,"OVER ESTIMATED","ABOUT RIGHT")))</f>
        <v>Provisions from last year ABOUT RIGHT</v>
      </c>
    </row>
    <row r="53" spans="1:27" ht="11" thickTop="1" thickBot="1">
      <c r="A53" s="701" t="s">
        <v>55</v>
      </c>
      <c r="B53" s="760">
        <f>SUM(B52:B52)</f>
        <v>14533.05</v>
      </c>
      <c r="P53" s="751" t="str">
        <f>CONCATENATE("£",TEXT(ABS(J47),"0.00")," provisioned, £",TEXT(ABS(K47),"0.00"),IF(K47&gt;0, " unused"," overspent"))</f>
        <v>£6500.00 provisioned, £250.40 unused</v>
      </c>
      <c r="R53" s="758"/>
    </row>
    <row r="54" spans="1:27" ht="8" thickTop="1" thickBot="1"/>
    <row r="55" spans="1:27" ht="31" thickTop="1" thickBot="1">
      <c r="A55" s="502" t="s">
        <v>49</v>
      </c>
      <c r="C55" s="157" t="s">
        <v>24</v>
      </c>
      <c r="D55" s="511" t="s">
        <v>19</v>
      </c>
      <c r="E55" s="156" t="s">
        <v>89</v>
      </c>
      <c r="F55" s="185" t="s">
        <v>93</v>
      </c>
      <c r="H55" s="762" t="s">
        <v>57</v>
      </c>
      <c r="N55" s="664" t="s">
        <v>3</v>
      </c>
      <c r="O55" s="670"/>
    </row>
    <row r="56" spans="1:27" ht="10.5" thickTop="1">
      <c r="A56" s="542" t="s">
        <v>185</v>
      </c>
      <c r="B56" s="322"/>
      <c r="C56" s="730">
        <f>+MAINTENANCE!BT5</f>
        <v>0</v>
      </c>
      <c r="D56" s="523"/>
      <c r="E56" s="763">
        <f t="shared" ref="E56" si="2">D56-C56</f>
        <v>0</v>
      </c>
      <c r="F56" s="764"/>
      <c r="G56" s="316" t="str">
        <f t="shared" ref="G56" si="3">IF(F56="X","*",IF(OR(F56="P",F56="N"),"",IF(ABS(E56/(D56+0.001))&gt;$J$1,IF(ABS(E56)&gt;20,IF(E56&lt;0,"&gt;","&lt;"),""),"")))</f>
        <v/>
      </c>
      <c r="N56" s="765" t="s">
        <v>59</v>
      </c>
      <c r="P56" s="659"/>
      <c r="Q56" s="659"/>
      <c r="R56" s="659"/>
      <c r="S56" s="659" t="s">
        <v>60</v>
      </c>
      <c r="T56" s="766">
        <f>DSUM($E$55:$F$105,1,W56:W57)</f>
        <v>465.8900000000001</v>
      </c>
      <c r="W56" s="685" t="s">
        <v>94</v>
      </c>
      <c r="X56" s="685" t="s">
        <v>94</v>
      </c>
      <c r="Y56" s="685" t="s">
        <v>94</v>
      </c>
      <c r="Z56" s="315" t="s">
        <v>94</v>
      </c>
      <c r="AA56" s="315" t="s">
        <v>94</v>
      </c>
    </row>
    <row r="57" spans="1:27" ht="10.5" thickBot="1">
      <c r="A57" s="830" t="s">
        <v>210</v>
      </c>
      <c r="C57" s="767">
        <f>+MAINTENANCE!BT6</f>
        <v>0</v>
      </c>
      <c r="D57" s="521">
        <v>0</v>
      </c>
      <c r="E57" s="763">
        <f>IF(ISTEXT(D57),0,D57)-C57</f>
        <v>0</v>
      </c>
      <c r="F57" s="880" t="s">
        <v>64</v>
      </c>
      <c r="G57" s="316" t="str">
        <f t="shared" ref="G57:G59" si="4">IF(F57="X","*",IF(OR(F57="P",F57="N"),"",IF(ABS(E57/(D57+0.001))&gt;$J$1,IF(OR(ABS(E57)&gt;20,C57=0),IF(E57&lt;0,"&gt;","&lt;"),""),"")))</f>
        <v/>
      </c>
      <c r="N57" s="765" t="s">
        <v>177</v>
      </c>
      <c r="P57" s="659"/>
      <c r="Q57" s="659"/>
      <c r="R57" s="659"/>
      <c r="S57" s="659" t="s">
        <v>178</v>
      </c>
      <c r="T57" s="766">
        <f>DSUM($E$55:$F$105,1,X56:X57)</f>
        <v>32.659999999999997</v>
      </c>
      <c r="W57" s="685" t="s">
        <v>58</v>
      </c>
      <c r="X57" s="794" t="s">
        <v>179</v>
      </c>
      <c r="Y57" s="685" t="s">
        <v>61</v>
      </c>
      <c r="Z57" s="315" t="s">
        <v>64</v>
      </c>
      <c r="AA57" s="315" t="s">
        <v>107</v>
      </c>
    </row>
    <row r="58" spans="1:27" ht="11" thickTop="1">
      <c r="A58" s="641" t="s">
        <v>211</v>
      </c>
      <c r="C58" s="767">
        <f>+MAINTENANCE!BT7</f>
        <v>0</v>
      </c>
      <c r="D58" s="521">
        <v>100</v>
      </c>
      <c r="E58" s="763">
        <f t="shared" ref="E58:E95" si="5">IF(ISTEXT(D58),0,D58)-C58</f>
        <v>100</v>
      </c>
      <c r="F58" s="880" t="s">
        <v>58</v>
      </c>
      <c r="G58" s="316" t="str">
        <f t="shared" si="4"/>
        <v>&lt;</v>
      </c>
      <c r="H58" s="502" t="s">
        <v>62</v>
      </c>
      <c r="L58" s="712" t="str">
        <f>C55</f>
        <v>TOTAL</v>
      </c>
      <c r="N58" s="765" t="s">
        <v>127</v>
      </c>
      <c r="P58" s="659"/>
      <c r="Q58" s="659"/>
      <c r="R58" s="659"/>
      <c r="S58" s="659" t="s">
        <v>63</v>
      </c>
      <c r="T58" s="766">
        <f>DSUM($E$55:$F$105,1,Y56:Y57)</f>
        <v>20</v>
      </c>
    </row>
    <row r="59" spans="1:27" ht="10.5" thickBot="1">
      <c r="A59" s="641" t="s">
        <v>158</v>
      </c>
      <c r="C59" s="767">
        <f>+MAINTENANCE!BT8</f>
        <v>28.2</v>
      </c>
      <c r="D59" s="521">
        <v>70</v>
      </c>
      <c r="E59" s="763">
        <f t="shared" si="5"/>
        <v>41.8</v>
      </c>
      <c r="F59" s="880" t="s">
        <v>58</v>
      </c>
      <c r="G59" s="316" t="str">
        <f t="shared" si="4"/>
        <v>&lt;</v>
      </c>
      <c r="J59" s="718"/>
      <c r="L59" s="769"/>
      <c r="N59" s="765" t="s">
        <v>267</v>
      </c>
      <c r="P59" s="659"/>
      <c r="Q59" s="659"/>
      <c r="R59" s="659"/>
      <c r="S59" s="659" t="s">
        <v>65</v>
      </c>
      <c r="T59" s="766">
        <f>DSUM($E$55:$F$105,1,Z56:Z57)</f>
        <v>35</v>
      </c>
      <c r="W59" s="770"/>
    </row>
    <row r="60" spans="1:27" ht="11" thickTop="1" thickBot="1">
      <c r="A60" s="641" t="s">
        <v>212</v>
      </c>
      <c r="C60" s="767">
        <f>+MAINTENANCE!BT9</f>
        <v>0</v>
      </c>
      <c r="D60" s="521">
        <v>20</v>
      </c>
      <c r="E60" s="763">
        <f t="shared" si="5"/>
        <v>20</v>
      </c>
      <c r="F60" s="880" t="s">
        <v>58</v>
      </c>
      <c r="G60" s="316" t="str">
        <f>IF(F60="X","*",IF(OR(F60="P",F60="N"),"",IF(ABS(E60/(D60+0.001))&gt;$J$1,IF(OR(ABS(E60)&gt;20,C60=0),IF(E60&lt;0,"&gt;","&lt;"),""),"")))</f>
        <v>&lt;</v>
      </c>
      <c r="H60" s="321" t="str">
        <f>+'OTHER COSTS'!A6</f>
        <v>Replace boat isolation switch</v>
      </c>
      <c r="I60" s="322"/>
      <c r="J60" s="322"/>
      <c r="K60" s="322"/>
      <c r="L60" s="771">
        <f>+'OTHER COSTS'!BT6</f>
        <v>25.99</v>
      </c>
      <c r="T60" s="836">
        <f>SUM(T56:T59)</f>
        <v>553.55000000000007</v>
      </c>
      <c r="W60" s="770"/>
    </row>
    <row r="61" spans="1:27" ht="10.5" thickTop="1">
      <c r="A61" s="830" t="s">
        <v>213</v>
      </c>
      <c r="C61" s="767">
        <f>+MAINTENANCE!BT10</f>
        <v>29.7</v>
      </c>
      <c r="D61" s="521">
        <v>40</v>
      </c>
      <c r="E61" s="763">
        <f t="shared" si="5"/>
        <v>10.3</v>
      </c>
      <c r="F61" s="768" t="s">
        <v>58</v>
      </c>
      <c r="G61" s="316" t="str">
        <f t="shared" ref="G61:G95" si="6">IF(F61="X","*",IF(OR(F61="P",F61="N"),"",IF(ABS(E61/(D61+0.001))&gt;$J$1,IF(OR(ABS(E61)&gt;20,C61=0),IF(E61&lt;0,"&gt;","&lt;"),""),"")))</f>
        <v/>
      </c>
      <c r="H61" s="316" t="str">
        <f>+'OTHER COSTS'!A7</f>
        <v>Horn (with separate negative terminal)</v>
      </c>
      <c r="L61" s="772">
        <f>+'OTHER COSTS'!BT7</f>
        <v>10</v>
      </c>
      <c r="N61" s="765" t="s">
        <v>110</v>
      </c>
      <c r="P61" s="659"/>
      <c r="Q61" s="659"/>
      <c r="R61" s="659"/>
      <c r="S61" s="765" t="s">
        <v>155</v>
      </c>
      <c r="T61" s="766">
        <f>'PROVISIONS &amp; SUBS'!I57</f>
        <v>0</v>
      </c>
      <c r="X61" s="773"/>
      <c r="Y61" s="773"/>
    </row>
    <row r="62" spans="1:27">
      <c r="A62" s="641" t="s">
        <v>161</v>
      </c>
      <c r="C62" s="767">
        <f>+MAINTENANCE!BT11</f>
        <v>0</v>
      </c>
      <c r="D62" s="521">
        <v>15</v>
      </c>
      <c r="E62" s="763">
        <f t="shared" si="5"/>
        <v>15</v>
      </c>
      <c r="F62" s="768" t="s">
        <v>58</v>
      </c>
      <c r="G62" s="316" t="str">
        <f t="shared" si="6"/>
        <v>&lt;</v>
      </c>
      <c r="H62" s="316" t="str">
        <f>+'OTHER COSTS'!A8</f>
        <v>Bilge Float Switch (starboard side failed)</v>
      </c>
      <c r="L62" s="772">
        <f>+'OTHER COSTS'!BT8</f>
        <v>18</v>
      </c>
      <c r="Z62" s="685"/>
      <c r="AA62" s="685"/>
    </row>
    <row r="63" spans="1:27" ht="10">
      <c r="A63" s="641" t="s">
        <v>214</v>
      </c>
      <c r="C63" s="767">
        <f>+MAINTENANCE!BT12</f>
        <v>0</v>
      </c>
      <c r="D63" s="521">
        <v>20</v>
      </c>
      <c r="E63" s="763">
        <f t="shared" si="5"/>
        <v>20</v>
      </c>
      <c r="F63" s="880" t="s">
        <v>58</v>
      </c>
      <c r="G63" s="316" t="str">
        <f t="shared" si="6"/>
        <v>&lt;</v>
      </c>
      <c r="H63" s="316" t="str">
        <f>+'OTHER COSTS'!A9</f>
        <v>Nantwich Canal Centre  - shackle</v>
      </c>
      <c r="L63" s="772">
        <f>+'OTHER COSTS'!BT9</f>
        <v>1.2</v>
      </c>
      <c r="N63" s="320" t="s">
        <v>268</v>
      </c>
      <c r="S63" s="776" t="s">
        <v>128</v>
      </c>
      <c r="T63" s="837" t="str">
        <f ca="1">CONCATENATE("Residue= ",TEXT(SUM(S64:S65),"£0.00"))</f>
        <v>Residue= £40.00</v>
      </c>
      <c r="U63" s="315"/>
      <c r="V63" s="775"/>
      <c r="W63" s="775"/>
      <c r="Z63" s="685"/>
      <c r="AA63" s="685"/>
    </row>
    <row r="64" spans="1:27">
      <c r="A64" s="641" t="s">
        <v>215</v>
      </c>
      <c r="C64" s="767">
        <f>+MAINTENANCE!BT13</f>
        <v>37.15</v>
      </c>
      <c r="D64" s="521">
        <v>26</v>
      </c>
      <c r="E64" s="763">
        <f t="shared" si="5"/>
        <v>-11.149999999999999</v>
      </c>
      <c r="F64" s="768" t="s">
        <v>58</v>
      </c>
      <c r="G64" s="316" t="str">
        <f t="shared" si="6"/>
        <v/>
      </c>
      <c r="H64" s="316" t="str">
        <f>+'OTHER COSTS'!A10</f>
        <v>Nantwich Canal Centre  - shackle</v>
      </c>
      <c r="L64" s="772">
        <f>+'OTHER COSTS'!BT10</f>
        <v>3.24</v>
      </c>
      <c r="N64" s="315" t="str">
        <f ca="1">IF(V64&gt;0,INDIRECT(W64),"")</f>
        <v>Repair front door before painting</v>
      </c>
      <c r="S64" s="315">
        <f t="shared" ref="S64:S71" ca="1" si="7">IF(V64&gt;0,INDIRECT(X64),"")</f>
        <v>40</v>
      </c>
      <c r="T64" s="793"/>
      <c r="V64" s="775">
        <v>69</v>
      </c>
      <c r="W64" s="685" t="str">
        <f>CONCATENATE("A",V64)</f>
        <v>A69</v>
      </c>
      <c r="X64" s="685" t="str">
        <f>CONCATENATE("D",V64)</f>
        <v>D69</v>
      </c>
      <c r="Y64" s="685" t="str">
        <f>CONCATENATE("E",V64)</f>
        <v>E69</v>
      </c>
    </row>
    <row r="65" spans="1:27">
      <c r="A65" s="815" t="s">
        <v>216</v>
      </c>
      <c r="C65" s="767">
        <f>+MAINTENANCE!BT14</f>
        <v>0</v>
      </c>
      <c r="D65" s="521"/>
      <c r="E65" s="763">
        <f t="shared" si="5"/>
        <v>0</v>
      </c>
      <c r="F65" s="768"/>
      <c r="G65" s="316" t="str">
        <f t="shared" si="6"/>
        <v/>
      </c>
      <c r="H65" s="316" t="str">
        <f>+'OTHER COSTS'!A11</f>
        <v>Bilge pump</v>
      </c>
      <c r="L65" s="772">
        <f>+'OTHER COSTS'!BT11</f>
        <v>44.9</v>
      </c>
      <c r="N65" s="315" t="str">
        <f ca="1">IF(V65&gt;0,INDIRECT(W65),"")</f>
        <v/>
      </c>
      <c r="S65" s="315" t="str">
        <f t="shared" ca="1" si="7"/>
        <v/>
      </c>
      <c r="T65" s="793"/>
      <c r="V65" s="775"/>
      <c r="W65" s="685" t="str">
        <f>CONCATENATE("A",V65)</f>
        <v>A</v>
      </c>
      <c r="X65" s="685" t="str">
        <f>CONCATENATE("D",V65)</f>
        <v>D</v>
      </c>
      <c r="Y65" s="685" t="str">
        <f>CONCATENATE("E",V65)</f>
        <v>E</v>
      </c>
    </row>
    <row r="66" spans="1:27" ht="10">
      <c r="A66" s="641" t="s">
        <v>187</v>
      </c>
      <c r="C66" s="767">
        <f>+MAINTENANCE!BT15</f>
        <v>18.38</v>
      </c>
      <c r="D66" s="521">
        <v>10</v>
      </c>
      <c r="E66" s="763">
        <f t="shared" si="5"/>
        <v>-8.379999999999999</v>
      </c>
      <c r="F66" s="768" t="s">
        <v>58</v>
      </c>
      <c r="G66" s="316" t="str">
        <f t="shared" si="6"/>
        <v/>
      </c>
      <c r="H66" s="316" t="str">
        <f>+'OTHER COSTS'!A12</f>
        <v>Plastic pipe for Bilge pump</v>
      </c>
      <c r="L66" s="772">
        <f>+'OTHER COSTS'!BT12</f>
        <v>1.98</v>
      </c>
      <c r="N66" s="320" t="s">
        <v>264</v>
      </c>
      <c r="S66" s="315" t="str">
        <f t="shared" ca="1" si="7"/>
        <v/>
      </c>
      <c r="T66" s="837" t="str">
        <f ca="1">CONCATENATE("Residue= ",TEXT(SUM(S67:S82),"£0.00"))</f>
        <v>Residue= £550.00</v>
      </c>
      <c r="V66" s="775"/>
    </row>
    <row r="67" spans="1:27" ht="7.5" thickBot="1">
      <c r="A67" s="543" t="s">
        <v>198</v>
      </c>
      <c r="C67" s="767">
        <f>+MAINTENANCE!BT16</f>
        <v>0</v>
      </c>
      <c r="D67" s="521">
        <v>75</v>
      </c>
      <c r="E67" s="763">
        <f t="shared" si="5"/>
        <v>75</v>
      </c>
      <c r="F67" s="880" t="s">
        <v>107</v>
      </c>
      <c r="G67" s="316" t="str">
        <f t="shared" si="6"/>
        <v/>
      </c>
      <c r="H67" s="317" t="s">
        <v>24</v>
      </c>
      <c r="I67" s="318"/>
      <c r="J67" s="318"/>
      <c r="K67" s="318"/>
      <c r="L67" s="319">
        <f>SUM(L56:L66)</f>
        <v>105.31</v>
      </c>
      <c r="N67" s="315" t="str">
        <f ca="1">IF(V67&gt;0,INDIRECT(W67),"")</f>
        <v xml:space="preserve">  JOBS TO BE DONE EVERY YEAR</v>
      </c>
      <c r="S67" s="315">
        <f t="shared" ca="1" si="7"/>
        <v>0</v>
      </c>
      <c r="T67" s="793"/>
      <c r="V67" s="775">
        <v>56</v>
      </c>
      <c r="W67" s="685" t="str">
        <f t="shared" ref="W67:W71" si="8">CONCATENATE("A",V67)</f>
        <v>A56</v>
      </c>
      <c r="X67" s="685" t="str">
        <f t="shared" ref="X67:X71" si="9">CONCATENATE("D",V67)</f>
        <v>D56</v>
      </c>
      <c r="Y67" s="685" t="str">
        <f t="shared" ref="Y67:Y71" si="10">CONCATENATE("E",V67)</f>
        <v>E56</v>
      </c>
    </row>
    <row r="68" spans="1:27" ht="7.5" thickTop="1">
      <c r="A68" s="543" t="s">
        <v>217</v>
      </c>
      <c r="C68" s="767">
        <f>+MAINTENANCE!BT17</f>
        <v>0</v>
      </c>
      <c r="D68" s="520">
        <v>500</v>
      </c>
      <c r="E68" s="763">
        <f t="shared" si="5"/>
        <v>500</v>
      </c>
      <c r="F68" s="768" t="s">
        <v>58</v>
      </c>
      <c r="G68" s="316" t="str">
        <f t="shared" si="6"/>
        <v>&lt;</v>
      </c>
      <c r="H68" s="322">
        <f>+'OTHER COSTS'!A14</f>
        <v>0</v>
      </c>
      <c r="I68" s="322"/>
      <c r="J68" s="322"/>
      <c r="K68" s="322"/>
      <c r="L68" s="835">
        <f>+'OTHER COSTS'!BT14</f>
        <v>0</v>
      </c>
      <c r="N68" s="315" t="str">
        <f ca="1">IF(V68&gt;0,INDIRECT(W68),"")</f>
        <v>Monitor water pump voltage problem</v>
      </c>
      <c r="S68" s="315">
        <f t="shared" ca="1" si="7"/>
        <v>0</v>
      </c>
      <c r="T68" s="793"/>
      <c r="V68" s="775">
        <v>72</v>
      </c>
      <c r="W68" s="685" t="str">
        <f t="shared" si="8"/>
        <v>A72</v>
      </c>
      <c r="X68" s="685" t="str">
        <f t="shared" si="9"/>
        <v>D72</v>
      </c>
      <c r="Y68" s="685" t="str">
        <f t="shared" si="10"/>
        <v>E72</v>
      </c>
    </row>
    <row r="69" spans="1:27" ht="7.5" thickBot="1">
      <c r="A69" s="641" t="s">
        <v>218</v>
      </c>
      <c r="C69" s="767">
        <f>+MAINTENANCE!BT18</f>
        <v>159.69</v>
      </c>
      <c r="D69" s="521">
        <v>40</v>
      </c>
      <c r="E69" s="763">
        <f t="shared" si="5"/>
        <v>-119.69</v>
      </c>
      <c r="F69" s="768" t="s">
        <v>58</v>
      </c>
      <c r="G69" s="316" t="str">
        <f t="shared" si="6"/>
        <v>&gt;</v>
      </c>
      <c r="H69" s="680">
        <f>+'OTHER COSTS'!A15</f>
        <v>0</v>
      </c>
      <c r="I69" s="680"/>
      <c r="J69" s="680"/>
      <c r="K69" s="680"/>
      <c r="L69" s="789">
        <f>+'OTHER COSTS'!BT15</f>
        <v>0</v>
      </c>
      <c r="N69" s="315" t="str">
        <f ca="1">IF(V69&gt;0,INDIRECT(W69),"")</f>
        <v>Replace missing bags for blankets and pillows?</v>
      </c>
      <c r="S69" s="315">
        <f t="shared" ca="1" si="7"/>
        <v>30</v>
      </c>
      <c r="T69" s="793"/>
      <c r="V69" s="775">
        <v>76</v>
      </c>
      <c r="W69" s="685" t="str">
        <f t="shared" si="8"/>
        <v>A76</v>
      </c>
      <c r="X69" s="685" t="str">
        <f t="shared" si="9"/>
        <v>D76</v>
      </c>
      <c r="Y69" s="685" t="str">
        <f t="shared" si="10"/>
        <v>E76</v>
      </c>
    </row>
    <row r="70" spans="1:27" ht="11" thickTop="1">
      <c r="A70" s="641" t="s">
        <v>196</v>
      </c>
      <c r="C70" s="767">
        <f>+MAINTENANCE!BT19</f>
        <v>0</v>
      </c>
      <c r="D70" s="519">
        <v>20</v>
      </c>
      <c r="E70" s="763">
        <f t="shared" si="5"/>
        <v>20</v>
      </c>
      <c r="F70" s="768" t="s">
        <v>61</v>
      </c>
      <c r="G70" s="316" t="str">
        <f t="shared" si="6"/>
        <v>*</v>
      </c>
      <c r="H70" s="811" t="str">
        <f>CONCATENATE("PROVISIONED INTO ",Summary!$B$1+1)</f>
        <v>PROVISIONED INTO 2022</v>
      </c>
      <c r="I70" s="811"/>
      <c r="J70" s="811"/>
      <c r="K70" s="506"/>
      <c r="L70" s="712" t="s">
        <v>24</v>
      </c>
      <c r="N70" s="315" t="str">
        <f ca="1">IF(V70&gt;0,INDIRECT(W70),"")</f>
        <v xml:space="preserve">Add spotlight option to front headlight.  </v>
      </c>
      <c r="S70" s="315">
        <f t="shared" ca="1" si="7"/>
        <v>50</v>
      </c>
      <c r="T70" s="793"/>
      <c r="V70" s="775">
        <v>79</v>
      </c>
      <c r="W70" s="685" t="str">
        <f t="shared" si="8"/>
        <v>A79</v>
      </c>
      <c r="X70" s="685" t="str">
        <f t="shared" si="9"/>
        <v>D79</v>
      </c>
      <c r="Y70" s="685" t="str">
        <f t="shared" si="10"/>
        <v>E79</v>
      </c>
      <c r="Z70" s="685"/>
      <c r="AA70" s="685"/>
    </row>
    <row r="71" spans="1:27" ht="11" thickBot="1">
      <c r="A71" s="641" t="s">
        <v>219</v>
      </c>
      <c r="C71" s="767">
        <v>0</v>
      </c>
      <c r="D71" s="519">
        <v>20</v>
      </c>
      <c r="E71" s="763">
        <f t="shared" si="5"/>
        <v>20</v>
      </c>
      <c r="F71" s="880" t="s">
        <v>58</v>
      </c>
      <c r="G71" s="316" t="str">
        <f t="shared" si="6"/>
        <v>&lt;</v>
      </c>
      <c r="H71" s="507"/>
      <c r="I71" s="507"/>
      <c r="J71" s="507"/>
      <c r="K71" s="508"/>
      <c r="L71" s="769"/>
      <c r="N71" s="315" t="str">
        <f ca="1">IF(V71&gt;0,INDIRECT(W71),"")</f>
        <v/>
      </c>
      <c r="S71" s="315" t="str">
        <f t="shared" ca="1" si="7"/>
        <v/>
      </c>
      <c r="T71" s="793"/>
      <c r="V71" s="775"/>
      <c r="W71" s="685" t="str">
        <f t="shared" si="8"/>
        <v>A</v>
      </c>
      <c r="X71" s="685" t="str">
        <f t="shared" si="9"/>
        <v>D</v>
      </c>
      <c r="Y71" s="685" t="str">
        <f t="shared" si="10"/>
        <v>E</v>
      </c>
    </row>
    <row r="72" spans="1:27" ht="10.5" thickTop="1">
      <c r="A72" s="641" t="s">
        <v>194</v>
      </c>
      <c r="C72" s="767">
        <f>+MAINTENANCE!BT21</f>
        <v>0</v>
      </c>
      <c r="D72" s="519"/>
      <c r="E72" s="763">
        <f t="shared" si="5"/>
        <v>0</v>
      </c>
      <c r="F72" s="768" t="s">
        <v>58</v>
      </c>
      <c r="G72" s="316" t="str">
        <f t="shared" si="6"/>
        <v/>
      </c>
      <c r="H72" s="666" t="str">
        <f>'PROVISIONS &amp; SUBS'!A64</f>
        <v xml:space="preserve">John Derbyshire overpayment - 2022 sub </v>
      </c>
      <c r="I72" s="322"/>
      <c r="J72" s="322"/>
      <c r="K72" s="322"/>
      <c r="L72" s="778">
        <f>'PROVISIONS &amp; SUBS'!H64</f>
        <v>50</v>
      </c>
      <c r="N72" s="320" t="s">
        <v>204</v>
      </c>
      <c r="T72" s="837" t="str">
        <f ca="1">CONCATENATE("Residue= ",TEXT(SUM(T73:T74),"£0.00"))</f>
        <v>Residue= -£53.00</v>
      </c>
      <c r="V72" s="775"/>
    </row>
    <row r="73" spans="1:27">
      <c r="A73" s="641" t="s">
        <v>220</v>
      </c>
      <c r="C73" s="767">
        <f>+MAINTENANCE!BT22</f>
        <v>0</v>
      </c>
      <c r="D73" s="521">
        <v>0</v>
      </c>
      <c r="E73" s="763">
        <f t="shared" si="5"/>
        <v>0</v>
      </c>
      <c r="F73" s="768" t="s">
        <v>64</v>
      </c>
      <c r="G73" s="316" t="str">
        <f t="shared" si="6"/>
        <v/>
      </c>
      <c r="H73" s="316" t="str">
        <f>'PROVISIONS &amp; SUBS'!A88</f>
        <v>Bioler Inspection (Done in 2021)</v>
      </c>
      <c r="L73" s="779">
        <f>'PROVISIONS &amp; SUBS'!H88</f>
        <v>75</v>
      </c>
      <c r="N73" s="315" t="str">
        <f ca="1">IF(V73&gt;0,INDIRECT(W73),"")</f>
        <v>Replace rubber matting over rear boards</v>
      </c>
      <c r="S73" s="315">
        <f ca="1">IF(V73&gt;0,INDIRECT(X73),"")</f>
        <v>150</v>
      </c>
      <c r="T73" s="792">
        <f ca="1">IF(V73&gt;0,INDIRECT(Y73),"")</f>
        <v>-53</v>
      </c>
      <c r="V73" s="775">
        <v>78</v>
      </c>
      <c r="W73" s="685" t="str">
        <f>CONCATENATE("A",V73)</f>
        <v>A78</v>
      </c>
      <c r="X73" s="685" t="str">
        <f>CONCATENATE("D",V73)</f>
        <v>D78</v>
      </c>
      <c r="Y73" s="685" t="str">
        <f>CONCATENATE("E",V73)</f>
        <v>E78</v>
      </c>
    </row>
    <row r="74" spans="1:27" ht="7.5" thickBot="1">
      <c r="A74" s="641" t="s">
        <v>221</v>
      </c>
      <c r="C74" s="767">
        <f>+MAINTENANCE!BT23</f>
        <v>325</v>
      </c>
      <c r="D74" s="521">
        <v>250</v>
      </c>
      <c r="E74" s="763">
        <f t="shared" si="5"/>
        <v>-75</v>
      </c>
      <c r="F74" s="768" t="s">
        <v>58</v>
      </c>
      <c r="G74" s="316" t="str">
        <f t="shared" si="6"/>
        <v>&gt;</v>
      </c>
      <c r="H74" s="317" t="s">
        <v>24</v>
      </c>
      <c r="I74" s="318"/>
      <c r="J74" s="318"/>
      <c r="K74" s="318"/>
      <c r="L74" s="319">
        <f>SUM(L72:L73)</f>
        <v>125</v>
      </c>
    </row>
    <row r="75" spans="1:27" ht="11" thickTop="1" thickBot="1">
      <c r="A75" s="543" t="s">
        <v>195</v>
      </c>
      <c r="B75" s="682"/>
      <c r="C75" s="767">
        <f>+MAINTENANCE!BT24</f>
        <v>0</v>
      </c>
      <c r="D75" s="520">
        <v>5</v>
      </c>
      <c r="E75" s="763">
        <f t="shared" si="5"/>
        <v>5</v>
      </c>
      <c r="F75" s="768" t="s">
        <v>64</v>
      </c>
      <c r="G75" s="316" t="str">
        <f t="shared" si="6"/>
        <v/>
      </c>
      <c r="N75" s="320" t="str">
        <f>CONCATENATE("Completed jobs significantly under budget (&lt;",$J$1*100,"%) ")</f>
        <v xml:space="preserve">Completed jobs significantly under budget (&lt;25%) </v>
      </c>
      <c r="T75" s="837" t="str">
        <f ca="1">CONCATENATE("Residue= ",TEXT(SUM(T76:T83),"£0.00"))</f>
        <v>Residue= £100.00</v>
      </c>
      <c r="U75" s="315"/>
      <c r="V75" s="775"/>
    </row>
    <row r="76" spans="1:27" ht="11" thickTop="1">
      <c r="A76" s="641" t="s">
        <v>197</v>
      </c>
      <c r="B76" s="682"/>
      <c r="C76" s="767">
        <f>+MAINTENANCE!BT25</f>
        <v>23.99</v>
      </c>
      <c r="D76" s="521">
        <v>30</v>
      </c>
      <c r="E76" s="763">
        <f t="shared" si="5"/>
        <v>6.0100000000000016</v>
      </c>
      <c r="F76" s="768" t="s">
        <v>58</v>
      </c>
      <c r="G76" s="316" t="str">
        <f t="shared" si="6"/>
        <v/>
      </c>
      <c r="H76" s="811" t="s">
        <v>225</v>
      </c>
      <c r="I76" s="811"/>
      <c r="J76" s="811"/>
      <c r="K76" s="506"/>
      <c r="L76" s="712" t="s">
        <v>24</v>
      </c>
      <c r="N76" s="315" t="str">
        <f ca="1">IF(V76&gt;0,INDIRECT(W76),"")</f>
        <v>Refurbish rear loo so bowl holds water, we have all the parts.  Front loo loose? See also 9</v>
      </c>
      <c r="S76" s="315">
        <f ca="1">IF(V76&gt;0,INDIRECT(X76),"")</f>
        <v>0</v>
      </c>
      <c r="T76" s="792">
        <f ca="1">IF(V76&gt;0,INDIRECT(Y76),"")</f>
        <v>0</v>
      </c>
      <c r="V76" s="775">
        <v>57</v>
      </c>
      <c r="W76" s="685" t="str">
        <f>CONCATENATE("A",V76)</f>
        <v>A57</v>
      </c>
      <c r="X76" s="685" t="str">
        <f>CONCATENATE("D",V76)</f>
        <v>D57</v>
      </c>
      <c r="Y76" s="685" t="str">
        <f>CONCATENATE("E",V76)</f>
        <v>E57</v>
      </c>
    </row>
    <row r="77" spans="1:27" ht="11" thickBot="1">
      <c r="A77" s="641" t="s">
        <v>222</v>
      </c>
      <c r="B77" s="682"/>
      <c r="C77" s="767">
        <f>+MAINTENANCE!BT26</f>
        <v>0</v>
      </c>
      <c r="D77" s="521">
        <v>0</v>
      </c>
      <c r="E77" s="763">
        <f t="shared" si="5"/>
        <v>0</v>
      </c>
      <c r="F77" s="768" t="s">
        <v>64</v>
      </c>
      <c r="G77" s="316" t="str">
        <f t="shared" si="6"/>
        <v/>
      </c>
      <c r="H77" s="507"/>
      <c r="I77" s="507"/>
      <c r="J77" s="507"/>
      <c r="K77" s="508"/>
      <c r="L77" s="769"/>
      <c r="N77" s="315" t="str">
        <f ca="1">IF(V77&gt;0,INDIRECT(W77),"")</f>
        <v xml:space="preserve">De-winterise water pump,check for leaks, reinstall, change water filter. Re-install Port Side Heating pump and shower. </v>
      </c>
      <c r="S77" s="315">
        <f ca="1">IF(V77&gt;0,INDIRECT(X77),"")</f>
        <v>100</v>
      </c>
      <c r="T77" s="792">
        <f ca="1">IF(V77&gt;0,INDIRECT(Y77),"")</f>
        <v>100</v>
      </c>
      <c r="U77" s="315"/>
      <c r="V77" s="775">
        <v>58</v>
      </c>
      <c r="W77" s="685" t="str">
        <f>CONCATENATE("A",V77)</f>
        <v>A58</v>
      </c>
      <c r="X77" s="685" t="str">
        <f>CONCATENATE("D",V77)</f>
        <v>D58</v>
      </c>
      <c r="Y77" s="685" t="str">
        <f>CONCATENATE("E",V77)</f>
        <v>E58</v>
      </c>
    </row>
    <row r="78" spans="1:27" ht="7.5" thickTop="1">
      <c r="A78" s="641" t="s">
        <v>188</v>
      </c>
      <c r="B78" s="682"/>
      <c r="C78" s="767">
        <f>+MAINTENANCE!BT27</f>
        <v>203</v>
      </c>
      <c r="D78" s="521">
        <v>150</v>
      </c>
      <c r="E78" s="763">
        <f t="shared" ref="E78:E87" si="11">IF(ISTEXT(D78),0,D78)-C78</f>
        <v>-53</v>
      </c>
      <c r="F78" s="768" t="s">
        <v>58</v>
      </c>
      <c r="G78" s="316" t="str">
        <f t="shared" si="6"/>
        <v>&gt;</v>
      </c>
      <c r="H78" s="666" t="str">
        <f>+'OTHER COSTS'!A52</f>
        <v>4 weeks hire of Painting Shed</v>
      </c>
      <c r="I78" s="322"/>
      <c r="J78" s="322"/>
      <c r="K78" s="322"/>
      <c r="L78" s="778">
        <f>+'OTHER COSTS'!BT52</f>
        <v>1177</v>
      </c>
      <c r="N78" s="315" t="str">
        <f t="shared" ref="N78:N82" ca="1" si="12">IF(V78&gt;0,INDIRECT(W78),"")</f>
        <v>Restock water filters &amp; Freezeban</v>
      </c>
      <c r="S78" s="315">
        <f t="shared" ref="S78:S82" ca="1" si="13">IF(V78&gt;0,INDIRECT(X78),"")</f>
        <v>70</v>
      </c>
      <c r="T78" s="792"/>
      <c r="V78" s="775">
        <v>59</v>
      </c>
      <c r="W78" s="685" t="str">
        <f t="shared" ref="W78:W82" si="14">CONCATENATE("A",V78)</f>
        <v>A59</v>
      </c>
      <c r="X78" s="685" t="str">
        <f t="shared" ref="X78:X82" si="15">CONCATENATE("D",V78)</f>
        <v>D59</v>
      </c>
      <c r="Y78" s="685" t="str">
        <f t="shared" ref="Y78:Y82" si="16">CONCATENATE("E",V78)</f>
        <v>E59</v>
      </c>
    </row>
    <row r="79" spans="1:27">
      <c r="A79" s="641" t="s">
        <v>176</v>
      </c>
      <c r="B79" s="682"/>
      <c r="C79" s="767">
        <f>+MAINTENANCE!BT28</f>
        <v>17.34</v>
      </c>
      <c r="D79" s="521">
        <v>50</v>
      </c>
      <c r="E79" s="763">
        <f t="shared" si="11"/>
        <v>32.659999999999997</v>
      </c>
      <c r="F79" s="768" t="s">
        <v>179</v>
      </c>
      <c r="G79" s="316" t="str">
        <f t="shared" si="6"/>
        <v>&lt;</v>
      </c>
      <c r="H79" s="316" t="str">
        <f>+'OTHER COSTS'!A53</f>
        <v>Painter - 1st payment  - for materials</v>
      </c>
      <c r="L79" s="779">
        <f>+'OTHER COSTS'!BT53</f>
        <v>2000</v>
      </c>
      <c r="N79" s="315" t="str">
        <f t="shared" ca="1" si="12"/>
        <v>Replace pillows  (4/year?)</v>
      </c>
      <c r="S79" s="315">
        <f t="shared" ca="1" si="13"/>
        <v>40</v>
      </c>
      <c r="T79" s="792"/>
      <c r="V79" s="775">
        <v>61</v>
      </c>
      <c r="W79" s="685" t="str">
        <f t="shared" si="14"/>
        <v>A61</v>
      </c>
      <c r="X79" s="685" t="str">
        <f t="shared" si="15"/>
        <v>D61</v>
      </c>
      <c r="Y79" s="685" t="str">
        <f t="shared" si="16"/>
        <v>E61</v>
      </c>
    </row>
    <row r="80" spans="1:27">
      <c r="A80" s="641" t="s">
        <v>186</v>
      </c>
      <c r="B80" s="682"/>
      <c r="C80" s="767">
        <f>+MAINTENANCE!BT29</f>
        <v>0</v>
      </c>
      <c r="D80" s="521">
        <v>30</v>
      </c>
      <c r="E80" s="763">
        <f t="shared" si="11"/>
        <v>30</v>
      </c>
      <c r="F80" s="768" t="s">
        <v>64</v>
      </c>
      <c r="G80" s="316" t="str">
        <f t="shared" si="6"/>
        <v/>
      </c>
      <c r="H80" s="316" t="str">
        <f>+'OTHER COSTS'!A54</f>
        <v>Power washing</v>
      </c>
      <c r="L80" s="779">
        <f>+'OTHER COSTS'!BT54</f>
        <v>100.1</v>
      </c>
      <c r="N80" s="315" t="str">
        <f t="shared" ca="1" si="12"/>
        <v>Re-stock first aid kit as needed</v>
      </c>
      <c r="S80" s="315">
        <f t="shared" ca="1" si="13"/>
        <v>15</v>
      </c>
      <c r="T80" s="792"/>
      <c r="V80" s="775">
        <v>62</v>
      </c>
      <c r="W80" s="685" t="str">
        <f t="shared" si="14"/>
        <v>A62</v>
      </c>
      <c r="X80" s="685" t="str">
        <f t="shared" si="15"/>
        <v>D62</v>
      </c>
      <c r="Y80" s="685" t="str">
        <f t="shared" si="16"/>
        <v>E62</v>
      </c>
    </row>
    <row r="81" spans="1:27">
      <c r="A81" s="641"/>
      <c r="B81" s="682"/>
      <c r="C81" s="767">
        <f>+MAINTENANCE!BT30</f>
        <v>0</v>
      </c>
      <c r="D81" s="521"/>
      <c r="E81" s="763">
        <f t="shared" si="11"/>
        <v>0</v>
      </c>
      <c r="F81" s="768"/>
      <c r="G81" s="316" t="str">
        <f t="shared" si="6"/>
        <v/>
      </c>
      <c r="H81" s="316" t="str">
        <f>+'OTHER COSTS'!A55</f>
        <v>Painting - 1st payment</v>
      </c>
      <c r="L81" s="779">
        <f>+'OTHER COSTS'!BT55</f>
        <v>2461.5</v>
      </c>
      <c r="N81" s="315" t="str">
        <f t="shared" ca="1" si="12"/>
        <v>Boiler check</v>
      </c>
      <c r="S81" s="315">
        <f t="shared" ca="1" si="13"/>
        <v>75</v>
      </c>
      <c r="V81" s="775">
        <v>67</v>
      </c>
      <c r="W81" s="685" t="str">
        <f t="shared" si="14"/>
        <v>A67</v>
      </c>
      <c r="X81" s="685" t="str">
        <f t="shared" si="15"/>
        <v>D67</v>
      </c>
      <c r="Y81" s="685" t="str">
        <f t="shared" si="16"/>
        <v>E67</v>
      </c>
    </row>
    <row r="82" spans="1:27">
      <c r="A82" s="641"/>
      <c r="B82" s="682"/>
      <c r="C82" s="767">
        <f>+MAINTENANCE!BT31</f>
        <v>0</v>
      </c>
      <c r="D82" s="521"/>
      <c r="E82" s="763">
        <f t="shared" si="11"/>
        <v>0</v>
      </c>
      <c r="F82" s="768"/>
      <c r="G82" s="316" t="str">
        <f t="shared" si="6"/>
        <v/>
      </c>
      <c r="H82" s="316" t="str">
        <f>+'OTHER COSTS'!A56</f>
        <v>Electricity charge for shed</v>
      </c>
      <c r="L82" s="779">
        <f>+'OTHER COSTS'!BT56</f>
        <v>86.83</v>
      </c>
      <c r="N82" s="315" t="str">
        <f t="shared" ca="1" si="12"/>
        <v>Permanent solution to collapsed boiler chimney</v>
      </c>
      <c r="S82" s="315">
        <f t="shared" ca="1" si="13"/>
        <v>20</v>
      </c>
      <c r="V82" s="775">
        <v>70</v>
      </c>
      <c r="W82" s="685" t="str">
        <f t="shared" si="14"/>
        <v>A70</v>
      </c>
      <c r="X82" s="685" t="str">
        <f t="shared" si="15"/>
        <v>D70</v>
      </c>
      <c r="Y82" s="685" t="str">
        <f t="shared" si="16"/>
        <v>E70</v>
      </c>
    </row>
    <row r="83" spans="1:27">
      <c r="A83" s="641"/>
      <c r="B83" s="682"/>
      <c r="C83" s="767">
        <f>+MAINTENANCE!BT32</f>
        <v>0</v>
      </c>
      <c r="D83" s="521"/>
      <c r="E83" s="763">
        <f t="shared" si="11"/>
        <v>0</v>
      </c>
      <c r="F83" s="768"/>
      <c r="G83" s="316" t="str">
        <f t="shared" si="6"/>
        <v/>
      </c>
      <c r="H83" s="316" t="str">
        <f>+'OTHER COSTS'!A57</f>
        <v>Painter - final payment</v>
      </c>
      <c r="L83" s="779">
        <f>+'OTHER COSTS'!BT57</f>
        <v>2953.85</v>
      </c>
    </row>
    <row r="84" spans="1:27" ht="10">
      <c r="A84" s="641"/>
      <c r="B84" s="682"/>
      <c r="C84" s="767">
        <f>+MAINTENANCE!BT33</f>
        <v>0</v>
      </c>
      <c r="D84" s="521"/>
      <c r="E84" s="763">
        <f t="shared" si="11"/>
        <v>0</v>
      </c>
      <c r="F84" s="768"/>
      <c r="G84" s="316" t="str">
        <f t="shared" si="6"/>
        <v/>
      </c>
      <c r="H84" s="316" t="str">
        <f>+'OTHER COSTS'!A58</f>
        <v>Sign painter (cash payment via PB)</v>
      </c>
      <c r="L84" s="779">
        <f>+'OTHER COSTS'!BT58</f>
        <v>400</v>
      </c>
      <c r="N84" s="320" t="str">
        <f>CONCATENATE("Completed jobs significantly over budget (&gt;",$J$1*100,"%)")</f>
        <v>Completed jobs significantly over budget (&gt;25%)</v>
      </c>
      <c r="S84" s="722"/>
      <c r="T84" s="837" t="str">
        <f ca="1">CONCATENATE("Overspend= ",TEXT(SUM(T85:T88),"£0.00"))</f>
        <v>Overspend= £500.00</v>
      </c>
      <c r="U84" s="792"/>
      <c r="V84" s="775"/>
    </row>
    <row r="85" spans="1:27" ht="7.5" thickBot="1">
      <c r="A85" s="641"/>
      <c r="B85" s="682"/>
      <c r="C85" s="767">
        <f>+MAINTENANCE!BT34</f>
        <v>0</v>
      </c>
      <c r="D85" s="521"/>
      <c r="E85" s="763">
        <f t="shared" si="11"/>
        <v>0</v>
      </c>
      <c r="F85" s="768"/>
      <c r="G85" s="316" t="str">
        <f t="shared" si="6"/>
        <v/>
      </c>
      <c r="H85" s="317" t="s">
        <v>24</v>
      </c>
      <c r="I85" s="318"/>
      <c r="J85" s="318"/>
      <c r="K85" s="318"/>
      <c r="L85" s="319">
        <f>SUM(L78:L84)</f>
        <v>9179.2800000000007</v>
      </c>
      <c r="N85" s="315" t="str">
        <f ca="1">IF(V85&gt;0,INDIRECT(W85),"")</f>
        <v xml:space="preserve">Jobs by Danny to support painting </v>
      </c>
      <c r="S85" s="315">
        <f ca="1">IF(V85&gt;0,INDIRECT(X85),"")</f>
        <v>500</v>
      </c>
      <c r="T85" s="792">
        <f ca="1">IF(V85&gt;0,INDIRECT(Y85),"")</f>
        <v>500</v>
      </c>
      <c r="U85" s="315"/>
      <c r="V85" s="775">
        <v>68</v>
      </c>
      <c r="W85" s="685" t="str">
        <f>CONCATENATE("A",V85)</f>
        <v>A68</v>
      </c>
      <c r="X85" s="685" t="str">
        <f>CONCATENATE("D",V85)</f>
        <v>D68</v>
      </c>
      <c r="Y85" s="685" t="str">
        <f>CONCATENATE("E",V85)</f>
        <v>E68</v>
      </c>
    </row>
    <row r="86" spans="1:27" ht="8" thickTop="1" thickBot="1">
      <c r="A86" s="641"/>
      <c r="B86" s="682"/>
      <c r="C86" s="767">
        <f>+MAINTENANCE!BT35</f>
        <v>0</v>
      </c>
      <c r="D86" s="521"/>
      <c r="E86" s="763">
        <f t="shared" si="11"/>
        <v>0</v>
      </c>
      <c r="F86" s="768"/>
      <c r="G86" s="316" t="str">
        <f t="shared" si="6"/>
        <v/>
      </c>
      <c r="H86" s="322"/>
      <c r="I86" s="322"/>
      <c r="J86" s="322"/>
      <c r="K86" s="322"/>
      <c r="L86" s="322"/>
      <c r="N86" s="315" t="str">
        <f ca="1">IF(V86&gt;0,INDIRECT(W86),"")</f>
        <v>Check for water leaks under kitchen sink as possible cause of smell</v>
      </c>
      <c r="S86" s="315">
        <f ca="1">IF(V86&gt;0,INDIRECT(X86),"")</f>
        <v>0</v>
      </c>
      <c r="T86" s="792">
        <f ca="1">IF(V86&gt;0,INDIRECT(Y86),"")</f>
        <v>0</v>
      </c>
      <c r="U86" s="315"/>
      <c r="V86" s="775">
        <v>73</v>
      </c>
      <c r="W86" s="685" t="str">
        <f>CONCATENATE("A",V86)</f>
        <v>A73</v>
      </c>
      <c r="X86" s="685" t="str">
        <f>CONCATENATE("D",V86)</f>
        <v>D73</v>
      </c>
      <c r="Y86" s="685" t="str">
        <f>CONCATENATE("E",V86)</f>
        <v>E73</v>
      </c>
    </row>
    <row r="87" spans="1:27" ht="11" thickTop="1">
      <c r="A87" s="641"/>
      <c r="B87" s="682"/>
      <c r="C87" s="767">
        <f>+MAINTENANCE!BT36</f>
        <v>0</v>
      </c>
      <c r="D87" s="521"/>
      <c r="E87" s="763">
        <f t="shared" si="11"/>
        <v>0</v>
      </c>
      <c r="F87" s="768"/>
      <c r="G87" s="316" t="str">
        <f t="shared" si="6"/>
        <v/>
      </c>
      <c r="H87" s="502" t="s">
        <v>172</v>
      </c>
      <c r="I87" s="502"/>
      <c r="J87" s="502"/>
      <c r="K87" s="506"/>
      <c r="L87" s="712" t="s">
        <v>24</v>
      </c>
      <c r="N87" s="315" t="str">
        <f ca="1">IF(V87&gt;0,INDIRECT(W87),"")</f>
        <v>Organize boxes in Boiler Cupboard.  Label boxes with contents, replace failing boxes, put list of contents on back of the door.</v>
      </c>
      <c r="S87" s="315">
        <f ca="1">IF(V87&gt;0,INDIRECT(X87),"")</f>
        <v>0</v>
      </c>
      <c r="T87" s="792">
        <f ca="1">IF(V87&gt;0,INDIRECT(Y87),"")</f>
        <v>0</v>
      </c>
      <c r="U87" s="315"/>
      <c r="V87" s="775">
        <v>77</v>
      </c>
      <c r="W87" s="685" t="str">
        <f>CONCATENATE("A",V87)</f>
        <v>A77</v>
      </c>
      <c r="X87" s="685" t="str">
        <f>CONCATENATE("D",V87)</f>
        <v>D77</v>
      </c>
      <c r="Y87" s="685" t="str">
        <f>CONCATENATE("E",V87)</f>
        <v>E77</v>
      </c>
    </row>
    <row r="88" spans="1:27" ht="11" thickBot="1">
      <c r="A88" s="641"/>
      <c r="B88" s="682"/>
      <c r="C88" s="767"/>
      <c r="D88" s="521"/>
      <c r="E88" s="763">
        <f t="shared" si="5"/>
        <v>0</v>
      </c>
      <c r="F88" s="768"/>
      <c r="G88" s="316" t="str">
        <f t="shared" si="6"/>
        <v/>
      </c>
      <c r="H88" s="507"/>
      <c r="I88" s="507"/>
      <c r="J88" s="507"/>
      <c r="K88" s="508"/>
      <c r="L88" s="780"/>
      <c r="N88" s="315" t="str">
        <f ca="1">IF(V88&gt;0,INDIRECT(W88),"")</f>
        <v/>
      </c>
      <c r="S88" s="315" t="str">
        <f ca="1">IF(V88&gt;0,INDIRECT(X88),"")</f>
        <v/>
      </c>
      <c r="T88" s="792" t="str">
        <f ca="1">IF(V88&gt;0,INDIRECT(Y88),"")</f>
        <v/>
      </c>
      <c r="U88" s="315"/>
      <c r="V88" s="775"/>
      <c r="W88" s="685" t="str">
        <f>CONCATENATE("A",V88)</f>
        <v>A</v>
      </c>
      <c r="X88" s="685" t="str">
        <f>CONCATENATE("D",V88)</f>
        <v>D</v>
      </c>
      <c r="Y88" s="685" t="str">
        <f>CONCATENATE("E",V88)</f>
        <v>E</v>
      </c>
    </row>
    <row r="89" spans="1:27" ht="7.5" thickTop="1">
      <c r="A89" s="641"/>
      <c r="B89" s="682"/>
      <c r="C89" s="767"/>
      <c r="D89" s="519"/>
      <c r="E89" s="763">
        <f t="shared" si="5"/>
        <v>0</v>
      </c>
      <c r="F89" s="768"/>
      <c r="G89" s="316" t="str">
        <f t="shared" si="6"/>
        <v/>
      </c>
      <c r="H89" s="321" t="str">
        <f>+'OTHER COSTS'!A62</f>
        <v>2 Hose connectors (no spares left)</v>
      </c>
      <c r="I89" s="322"/>
      <c r="J89" s="322"/>
      <c r="K89" s="322"/>
      <c r="L89" s="323">
        <f>+'OTHER COSTS'!BT62</f>
        <v>5.23</v>
      </c>
    </row>
    <row r="90" spans="1:27" ht="10">
      <c r="A90" s="641"/>
      <c r="B90" s="682"/>
      <c r="C90" s="767"/>
      <c r="D90" s="519"/>
      <c r="E90" s="763">
        <f t="shared" si="5"/>
        <v>0</v>
      </c>
      <c r="F90" s="768"/>
      <c r="G90" s="316" t="str">
        <f t="shared" si="6"/>
        <v/>
      </c>
      <c r="H90" s="316" t="str">
        <f>+'OTHER COSTS'!A63</f>
        <v>Assorted blade fuses (only high value ones on board)</v>
      </c>
      <c r="L90" s="779">
        <f>+'OTHER COSTS'!BT63</f>
        <v>3.45</v>
      </c>
      <c r="N90" s="774" t="s">
        <v>206</v>
      </c>
      <c r="T90" s="837" t="str">
        <f ca="1">CONCATENATE(IF(SUM(T92:T92)-SUM(S91:S92)&gt;0,"Overspend","Residue"),"= ",TEXT(ABS(SUM(T92:T92)-SUM(S91:S92)),"£0.00"))</f>
        <v>Overspend= £8.38</v>
      </c>
      <c r="V90" s="775"/>
      <c r="W90" s="775"/>
    </row>
    <row r="91" spans="1:27" ht="10">
      <c r="A91" s="609"/>
      <c r="B91" s="682"/>
      <c r="C91" s="767"/>
      <c r="D91" s="524"/>
      <c r="E91" s="763">
        <f t="shared" si="5"/>
        <v>0</v>
      </c>
      <c r="F91" s="768"/>
      <c r="G91" s="316" t="str">
        <f t="shared" si="6"/>
        <v/>
      </c>
      <c r="H91" s="316" t="str">
        <f>+'OTHER COSTS'!A64</f>
        <v>Toilet rolls</v>
      </c>
      <c r="L91" s="779">
        <f>+'OTHER COSTS'!BT64</f>
        <v>2.89</v>
      </c>
      <c r="N91" s="315" t="str">
        <f ca="1">IF(V91&gt;0,INDIRECT(W91),"")</f>
        <v>Resolve starter issue</v>
      </c>
      <c r="S91" s="315">
        <f ca="1">IF(V91&gt;0,INDIRECT(X91),"")</f>
        <v>-8.379999999999999</v>
      </c>
      <c r="T91" s="776" t="s">
        <v>205</v>
      </c>
      <c r="V91" s="775">
        <v>66</v>
      </c>
      <c r="W91" s="775" t="str">
        <f>CONCATENATE("A",V91)</f>
        <v>A66</v>
      </c>
      <c r="X91" s="685" t="str">
        <f>CONCATENATE("E",V91)</f>
        <v>E66</v>
      </c>
      <c r="Y91" s="685" t="str">
        <f>CONCATENATE("E",V91)</f>
        <v>E66</v>
      </c>
      <c r="Z91" s="685"/>
    </row>
    <row r="92" spans="1:27" ht="10">
      <c r="A92" s="782"/>
      <c r="B92" s="682"/>
      <c r="C92" s="767"/>
      <c r="D92" s="524"/>
      <c r="E92" s="763">
        <f t="shared" si="5"/>
        <v>0</v>
      </c>
      <c r="F92" s="768"/>
      <c r="G92" s="316" t="str">
        <f t="shared" si="6"/>
        <v/>
      </c>
      <c r="H92" s="316" t="str">
        <f>+'OTHER COSTS'!A65</f>
        <v>Mooring pins</v>
      </c>
      <c r="L92" s="779">
        <f>+'OTHER COSTS'!BT65</f>
        <v>41.15</v>
      </c>
      <c r="N92" s="315" t="str">
        <f ca="1">IF(V92&gt;0,INDIRECT(W92),"")</f>
        <v/>
      </c>
      <c r="S92" s="315" t="str">
        <f ca="1">IF(V92&gt;0,INDIRECT(X92),"")</f>
        <v/>
      </c>
      <c r="T92" s="776" t="str">
        <f>IF(V92&gt;0,"Provision","")</f>
        <v/>
      </c>
      <c r="V92" s="775"/>
      <c r="W92" s="775" t="str">
        <f>CONCATENATE("A",V92)</f>
        <v>A</v>
      </c>
      <c r="X92" s="685" t="str">
        <f>CONCATENATE("E",V92)</f>
        <v>E</v>
      </c>
      <c r="Y92" s="685" t="str">
        <f>CONCATENATE("E",V92)</f>
        <v>E</v>
      </c>
      <c r="Z92" s="685"/>
    </row>
    <row r="93" spans="1:27" ht="10.5">
      <c r="A93" s="782"/>
      <c r="B93" s="682"/>
      <c r="C93" s="767"/>
      <c r="D93" s="524"/>
      <c r="E93" s="763">
        <f t="shared" si="5"/>
        <v>0</v>
      </c>
      <c r="F93" s="768"/>
      <c r="G93" s="316" t="str">
        <f t="shared" si="6"/>
        <v/>
      </c>
      <c r="H93" s="316" t="str">
        <f>+'OTHER COSTS'!A66</f>
        <v>Ebay Woods Beryl ware  6 replacement dinner plates</v>
      </c>
      <c r="L93" s="779">
        <f>+'OTHER COSTS'!BT66</f>
        <v>39</v>
      </c>
      <c r="N93" s="324" t="s">
        <v>173</v>
      </c>
      <c r="P93" s="325"/>
      <c r="T93" s="837" t="str">
        <f ca="1">CONCATENATE("Cost= ",TEXT(SUM(T94:T96),"£0.00"))</f>
        <v>Cost= £13.24</v>
      </c>
      <c r="V93" s="775"/>
      <c r="W93" s="775"/>
      <c r="Z93" s="685"/>
      <c r="AA93" s="685"/>
    </row>
    <row r="94" spans="1:27" ht="11" thickBot="1">
      <c r="A94" s="782"/>
      <c r="B94" s="682"/>
      <c r="C94" s="767"/>
      <c r="D94" s="524"/>
      <c r="E94" s="763">
        <f t="shared" si="5"/>
        <v>0</v>
      </c>
      <c r="F94" s="768"/>
      <c r="G94" s="316" t="str">
        <f t="shared" si="6"/>
        <v/>
      </c>
      <c r="H94" s="317" t="s">
        <v>24</v>
      </c>
      <c r="I94" s="318"/>
      <c r="J94" s="318"/>
      <c r="K94" s="318"/>
      <c r="L94" s="319">
        <f>SUM(L89:L93)</f>
        <v>91.72</v>
      </c>
      <c r="N94" s="794" t="str">
        <f ca="1">CONCATENATE(IF(V94&gt;0,INDIRECT(X94),""),IF(W94&gt;0," &amp; ",""),IF(W94&gt;0,INDIRECT(Z94),""))</f>
        <v/>
      </c>
      <c r="O94" s="502"/>
      <c r="P94" s="632"/>
      <c r="Q94" s="632"/>
      <c r="R94" s="632"/>
      <c r="S94" s="632"/>
      <c r="T94" s="793">
        <f ca="1">IF(V94&gt;0,INDIRECT(Y94),0)+IF(W94&gt;0,INDIRECT(AA93),0)</f>
        <v>0</v>
      </c>
      <c r="U94" s="781"/>
      <c r="V94" s="775">
        <v>59</v>
      </c>
      <c r="W94" s="775"/>
      <c r="X94" s="685" t="str">
        <f>CONCATENATE("H",V94)</f>
        <v>H59</v>
      </c>
      <c r="Y94" s="685" t="str">
        <f>CONCATENATE("L",V94)</f>
        <v>L59</v>
      </c>
      <c r="Z94" s="685" t="str">
        <f>CONCATENATE("H",W94)</f>
        <v>H</v>
      </c>
      <c r="AA94" s="685" t="str">
        <f>CONCATENATE("L",W95)</f>
        <v>L</v>
      </c>
    </row>
    <row r="95" spans="1:27" ht="11" thickTop="1">
      <c r="A95" s="783"/>
      <c r="B95" s="682"/>
      <c r="C95" s="767"/>
      <c r="D95" s="524"/>
      <c r="E95" s="763">
        <f t="shared" si="5"/>
        <v>0</v>
      </c>
      <c r="F95" s="768"/>
      <c r="G95" s="316" t="str">
        <f t="shared" si="6"/>
        <v/>
      </c>
      <c r="N95" s="315" t="str">
        <f ca="1">CONCATENATE(IF(V95&gt;0,INDIRECT(X95),""),IF(W95&gt;0," &amp; ",""),IF(W95&gt;0,INDIRECT(Z95),""))</f>
        <v>Horn (with separate negative terminal)</v>
      </c>
      <c r="O95" s="502"/>
      <c r="P95" s="632"/>
      <c r="Q95" s="632"/>
      <c r="R95" s="632"/>
      <c r="S95" s="632"/>
      <c r="T95" s="793">
        <f ca="1">IF(V95&gt;0,INDIRECT(Y95),0)+IF(W95&gt;0,INDIRECT(AA94),0)</f>
        <v>10</v>
      </c>
      <c r="V95" s="775">
        <v>61</v>
      </c>
      <c r="W95" s="775"/>
      <c r="X95" s="685" t="str">
        <f>CONCATENATE("H",V95)</f>
        <v>H61</v>
      </c>
      <c r="Y95" s="685" t="str">
        <f>CONCATENATE("L",V95)</f>
        <v>L61</v>
      </c>
      <c r="Z95" s="685" t="str">
        <f>CONCATENATE("H",W95)</f>
        <v>H</v>
      </c>
      <c r="AA95" s="685" t="str">
        <f t="shared" ref="AA95:AA96" si="17">CONCATENATE("L",W96)</f>
        <v>L</v>
      </c>
    </row>
    <row r="96" spans="1:27" ht="11" thickBot="1">
      <c r="A96" s="317" t="s">
        <v>24</v>
      </c>
      <c r="B96" s="318"/>
      <c r="C96" s="817">
        <f>SUM(C56:C95)</f>
        <v>842.45</v>
      </c>
      <c r="D96" s="816">
        <f>SUM(D56:D95)</f>
        <v>1471</v>
      </c>
      <c r="E96" s="786">
        <f>SUM(E56:E95)</f>
        <v>628.55000000000007</v>
      </c>
      <c r="F96" s="820"/>
      <c r="G96" s="316"/>
      <c r="N96" s="315" t="str">
        <f ca="1">CONCATENATE(IF(V96&gt;0,INDIRECT(X96),""),IF(W96&gt;0," &amp; ",""),IF(W96&gt;0,INDIRECT(Z96),""))</f>
        <v>Nantwich Canal Centre  - shackle</v>
      </c>
      <c r="O96" s="502"/>
      <c r="P96" s="832"/>
      <c r="Q96" s="832"/>
      <c r="R96" s="832"/>
      <c r="S96" s="832"/>
      <c r="T96" s="793">
        <f ca="1">IF(V96&gt;0,INDIRECT(Y96),0)+IF(W96&gt;0,INDIRECT(AA95),0)</f>
        <v>3.24</v>
      </c>
      <c r="V96" s="775">
        <v>64</v>
      </c>
      <c r="X96" s="685" t="str">
        <f>CONCATENATE("H",V96)</f>
        <v>H64</v>
      </c>
      <c r="Y96" s="685" t="str">
        <f>CONCATENATE("L",V96)</f>
        <v>L64</v>
      </c>
      <c r="Z96" s="685" t="str">
        <f>CONCATENATE("H",W96)</f>
        <v>H</v>
      </c>
      <c r="AA96" s="685" t="str">
        <f t="shared" si="17"/>
        <v>L</v>
      </c>
    </row>
    <row r="97" spans="1:27" ht="7.5" thickTop="1">
      <c r="A97" s="784"/>
      <c r="B97" s="682"/>
      <c r="C97" s="787"/>
      <c r="D97" s="788"/>
      <c r="E97" s="789"/>
      <c r="F97" s="818"/>
      <c r="G97" s="680" t="str">
        <f>IF(F97="X","*",IF(OR(F97="P",F97="N"),"",IF(ABS(E97/(D97+0.001))&gt;$J$1,IF(ABS(E97)&gt;20,IF(E97&lt;0,"&gt;","&lt;"),""),"")))</f>
        <v/>
      </c>
    </row>
    <row r="98" spans="1:27" ht="10.5">
      <c r="A98" s="827"/>
      <c r="B98" s="680"/>
      <c r="C98" s="680"/>
      <c r="D98" s="788"/>
      <c r="E98" s="789"/>
      <c r="F98" s="680"/>
      <c r="G98" s="680" t="str">
        <f>IF(F98="X","*",IF(OR(F98="P",F98="N"),"",IF(ABS(E98/(D98+0.001))&gt;$J$1,IF(ABS(E98)&gt;20,IF(E98&lt;0,"&gt;","&lt;"),""),"")))</f>
        <v/>
      </c>
      <c r="N98" s="324" t="s">
        <v>266</v>
      </c>
      <c r="P98" s="325"/>
      <c r="T98" s="837" t="str">
        <f ca="1">CONCATENATE("Cost= ",TEXT(SUM(T99:T101),"£0.00"))</f>
        <v>Cost= £80.15</v>
      </c>
      <c r="V98" s="775"/>
      <c r="W98" s="775"/>
      <c r="Z98" s="685"/>
      <c r="AA98" s="685"/>
    </row>
    <row r="99" spans="1:27" ht="10.5">
      <c r="A99" s="828"/>
      <c r="B99" s="680"/>
      <c r="C99" s="787"/>
      <c r="D99" s="787"/>
      <c r="E99" s="789"/>
      <c r="F99" s="819"/>
      <c r="G99" s="680" t="str">
        <f t="shared" ref="G99:G100" si="18">IF(F99="X","*",IF(OR(F99="P",F99="N"),"",IF(ABS(E99/(D99+0.001))&gt;$J$1,IF(ABS(E99)&gt;20,IF(E99&lt;0,"&gt;","&lt;"),""),"")))</f>
        <v/>
      </c>
      <c r="N99" s="794" t="str">
        <f ca="1">CONCATENATE(IF(V99&gt;0,INDIRECT(X99),""),IF(W99&gt;0," &amp; ",""),IF(W99&gt;0,INDIRECT(Z99),""))</f>
        <v>Mooring pins</v>
      </c>
      <c r="O99" s="502"/>
      <c r="P99" s="873"/>
      <c r="Q99" s="873"/>
      <c r="R99" s="873"/>
      <c r="S99" s="873"/>
      <c r="T99" s="793">
        <f ca="1">IF(V99&gt;0,INDIRECT(Y99),0)+IF(W99&gt;0,INDIRECT(AA98),0)</f>
        <v>41.15</v>
      </c>
      <c r="U99" s="781"/>
      <c r="V99" s="775">
        <v>92</v>
      </c>
      <c r="W99" s="775"/>
      <c r="X99" s="685" t="str">
        <f>CONCATENATE("H",V99)</f>
        <v>H92</v>
      </c>
      <c r="Y99" s="685" t="str">
        <f>CONCATENATE("L",V99)</f>
        <v>L92</v>
      </c>
      <c r="Z99" s="685" t="str">
        <f>CONCATENATE("H",W99)</f>
        <v>H</v>
      </c>
      <c r="AA99" s="685" t="str">
        <f>CONCATENATE("L",W100)</f>
        <v>L</v>
      </c>
    </row>
    <row r="100" spans="1:27" ht="10.5">
      <c r="A100" s="829"/>
      <c r="B100" s="829"/>
      <c r="C100" s="787"/>
      <c r="D100" s="788"/>
      <c r="E100" s="789"/>
      <c r="F100" s="819"/>
      <c r="G100" s="680" t="str">
        <f t="shared" si="18"/>
        <v/>
      </c>
      <c r="H100" s="680"/>
      <c r="I100" s="680"/>
      <c r="J100" s="680"/>
      <c r="K100" s="680"/>
      <c r="L100" s="680"/>
      <c r="N100" s="315" t="str">
        <f ca="1">CONCATENATE(IF(V100&gt;0,INDIRECT(X100),""),IF(W100&gt;0," &amp; ",""),IF(W100&gt;0,INDIRECT(Z100),""))</f>
        <v>Ebay Woods Beryl ware  6 replacement dinner plates</v>
      </c>
      <c r="O100" s="502"/>
      <c r="P100" s="873"/>
      <c r="Q100" s="873"/>
      <c r="R100" s="873"/>
      <c r="S100" s="873"/>
      <c r="T100" s="793">
        <f ca="1">IF(V100&gt;0,INDIRECT(Y100),0)+IF(W100&gt;0,INDIRECT(AA99),0)</f>
        <v>39</v>
      </c>
      <c r="V100" s="775">
        <v>93</v>
      </c>
      <c r="W100" s="775"/>
      <c r="X100" s="685" t="str">
        <f>CONCATENATE("H",V100)</f>
        <v>H93</v>
      </c>
      <c r="Y100" s="685" t="str">
        <f>CONCATENATE("L",V100)</f>
        <v>L93</v>
      </c>
      <c r="Z100" s="685" t="str">
        <f>CONCATENATE("H",W100)</f>
        <v>H</v>
      </c>
      <c r="AA100" s="685" t="str">
        <f t="shared" ref="AA100:AA101" si="19">CONCATENATE("L",W101)</f>
        <v>L</v>
      </c>
    </row>
    <row r="101" spans="1:27" ht="10.5">
      <c r="A101" s="680"/>
      <c r="B101" s="680"/>
      <c r="C101" s="789"/>
      <c r="D101" s="789"/>
      <c r="E101" s="789"/>
      <c r="F101" s="819"/>
      <c r="G101" s="680"/>
      <c r="H101" s="680">
        <f>+'OTHER COSTS'!A67</f>
        <v>0</v>
      </c>
      <c r="I101" s="680"/>
      <c r="J101" s="680"/>
      <c r="K101" s="680"/>
      <c r="L101" s="680">
        <f>+'OTHER COSTS'!BT67</f>
        <v>0</v>
      </c>
      <c r="N101" s="315" t="str">
        <f ca="1">CONCATENATE(IF(V101&gt;0,INDIRECT(X101),""),IF(W101&gt;0," &amp; ",""),IF(W101&gt;0,INDIRECT(Z101),""))</f>
        <v/>
      </c>
      <c r="O101" s="502"/>
      <c r="P101" s="873"/>
      <c r="Q101" s="873"/>
      <c r="R101" s="873"/>
      <c r="S101" s="873"/>
      <c r="T101" s="793">
        <f ca="1">IF(V101&gt;0,INDIRECT(Y101),0)+IF(W101&gt;0,INDIRECT(AA100),0)</f>
        <v>0</v>
      </c>
      <c r="X101" s="685" t="str">
        <f>CONCATENATE("H",V101)</f>
        <v>H</v>
      </c>
      <c r="Y101" s="685" t="str">
        <f>CONCATENATE("L",V101)</f>
        <v>L</v>
      </c>
      <c r="Z101" s="685" t="str">
        <f>CONCATENATE("H",W101)</f>
        <v>H</v>
      </c>
      <c r="AA101" s="685" t="str">
        <f t="shared" si="19"/>
        <v>L</v>
      </c>
    </row>
    <row r="102" spans="1:27" ht="10.5">
      <c r="A102" s="785"/>
      <c r="C102" s="787"/>
      <c r="D102" s="788"/>
      <c r="E102" s="789"/>
      <c r="F102" s="680"/>
      <c r="G102" s="680" t="str">
        <f t="shared" ref="G102:G105" si="20">IF(F102="X","*",IF(OR(F102="P",F102="N"),"",IF(ABS(E102/(D102+0.001))&gt;$J$1,IF(ABS(E102)&gt;20,IF(E102&lt;0,"&gt;","&lt;"),""),"")))</f>
        <v/>
      </c>
      <c r="H102" s="680">
        <f>+'OTHER COSTS'!A68</f>
        <v>0</v>
      </c>
      <c r="I102" s="680"/>
      <c r="J102" s="680"/>
      <c r="K102" s="680"/>
      <c r="L102" s="680">
        <f>+'OTHER COSTS'!BT68</f>
        <v>0</v>
      </c>
      <c r="N102" s="502"/>
      <c r="T102" s="792"/>
    </row>
    <row r="103" spans="1:27">
      <c r="A103" s="785"/>
      <c r="C103" s="680"/>
      <c r="D103" s="788"/>
      <c r="E103" s="789"/>
      <c r="F103" s="680"/>
      <c r="G103" s="680" t="str">
        <f t="shared" si="20"/>
        <v/>
      </c>
      <c r="H103" s="680">
        <f>+'OTHER COSTS'!A69</f>
        <v>0</v>
      </c>
      <c r="I103" s="680"/>
      <c r="J103" s="680"/>
      <c r="K103" s="680"/>
      <c r="L103" s="680">
        <f>+'OTHER COSTS'!BT69</f>
        <v>0</v>
      </c>
      <c r="T103" s="792"/>
    </row>
    <row r="104" spans="1:27" ht="10.5">
      <c r="A104" s="785"/>
      <c r="C104" s="680"/>
      <c r="D104" s="788"/>
      <c r="E104" s="789"/>
      <c r="F104" s="680"/>
      <c r="G104" s="680" t="str">
        <f t="shared" si="20"/>
        <v/>
      </c>
      <c r="H104" s="680">
        <f>+'OTHER COSTS'!A70</f>
        <v>0</v>
      </c>
      <c r="I104" s="680"/>
      <c r="J104" s="680"/>
      <c r="K104" s="680"/>
      <c r="L104" s="680">
        <f>+'OTHER COSTS'!BT70</f>
        <v>0</v>
      </c>
      <c r="N104" s="324"/>
      <c r="T104" s="792"/>
    </row>
    <row r="105" spans="1:27">
      <c r="A105" s="785"/>
      <c r="C105" s="680"/>
      <c r="D105" s="788"/>
      <c r="E105" s="789"/>
      <c r="F105" s="680"/>
      <c r="G105" s="680" t="str">
        <f t="shared" si="20"/>
        <v/>
      </c>
      <c r="H105" s="787"/>
      <c r="I105" s="680"/>
      <c r="J105" s="680"/>
      <c r="K105" s="680"/>
      <c r="L105" s="680"/>
      <c r="T105" s="792"/>
    </row>
    <row r="106" spans="1:27">
      <c r="C106" s="680"/>
      <c r="D106" s="680"/>
      <c r="E106" s="680"/>
      <c r="F106" s="680"/>
      <c r="G106" s="680" t="str">
        <f>IF(F107="X","*",IF(OR(F107="P",F107="N"),"",IF(ABS(E107/(D107+0.001))&gt;$J$1,IF(ABS(E107)&gt;20,IF(E107&lt;0,"&gt;","&lt;"),""),"")))</f>
        <v/>
      </c>
      <c r="T106" s="792"/>
    </row>
    <row r="107" spans="1:27">
      <c r="A107" s="787"/>
      <c r="B107" s="680"/>
      <c r="C107" s="787"/>
      <c r="D107" s="788"/>
      <c r="E107" s="789"/>
      <c r="F107" s="680"/>
      <c r="G107" s="680"/>
      <c r="T107" s="792"/>
    </row>
  </sheetData>
  <mergeCells count="4">
    <mergeCell ref="A21:A23"/>
    <mergeCell ref="D35:I37"/>
    <mergeCell ref="R23:T23"/>
    <mergeCell ref="N36:T37"/>
  </mergeCells>
  <phoneticPr fontId="9" type="noConversion"/>
  <conditionalFormatting sqref="A56:A75 A78:A95">
    <cfRule type="expression" dxfId="2" priority="3">
      <formula>$D56="removed"</formula>
    </cfRule>
  </conditionalFormatting>
  <conditionalFormatting sqref="A76:A77">
    <cfRule type="expression" dxfId="1" priority="2">
      <formula>$D76="removed"</formula>
    </cfRule>
  </conditionalFormatting>
  <conditionalFormatting sqref="A76:A77">
    <cfRule type="expression" dxfId="0" priority="1">
      <formula>$D76="removed"</formula>
    </cfRule>
  </conditionalFormatting>
  <printOptions horizontalCentered="1"/>
  <pageMargins left="7.874015748031496E-2" right="7.874015748031496E-2" top="7.874015748031496E-2" bottom="7.874015748031496E-2" header="0" footer="0.27559055118110237"/>
  <pageSetup paperSize="9" scale="90" fitToHeight="2" orientation="landscape" verticalDpi="4" r:id="rId1"/>
  <headerFooter alignWithMargins="0"/>
  <rowBreaks count="1" manualBreakCount="1">
    <brk id="53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6"/>
  <sheetViews>
    <sheetView showZeros="0" workbookViewId="0">
      <pane xSplit="1" topLeftCell="B1" activePane="topRight" state="frozen"/>
      <selection activeCell="R6" sqref="R6"/>
      <selection pane="topRight" activeCell="C30" sqref="C30"/>
    </sheetView>
  </sheetViews>
  <sheetFormatPr defaultColWidth="16" defaultRowHeight="7"/>
  <cols>
    <col min="1" max="1" width="53" style="1" customWidth="1"/>
    <col min="2" max="19" width="11" style="1" customWidth="1"/>
    <col min="20" max="20" width="2" style="1" customWidth="1"/>
    <col min="21" max="22" width="11" style="1" customWidth="1"/>
    <col min="23" max="31" width="16" style="70" customWidth="1"/>
    <col min="32" max="16384" width="16" style="1"/>
  </cols>
  <sheetData>
    <row r="1" spans="1:213" ht="35">
      <c r="A1" s="902" t="s">
        <v>151</v>
      </c>
      <c r="I1" s="219" t="s">
        <v>100</v>
      </c>
      <c r="T1" s="798" t="str">
        <f ca="1">Summary!$T$2</f>
        <v>06 February 2022</v>
      </c>
      <c r="U1" s="90"/>
    </row>
    <row r="2" spans="1:213" ht="18.75" customHeight="1">
      <c r="A2" s="903"/>
      <c r="C2" s="2"/>
      <c r="I2" s="48"/>
      <c r="K2" s="219"/>
      <c r="L2" s="219"/>
      <c r="U2" s="89"/>
    </row>
    <row r="3" spans="1:213" ht="18.75" customHeight="1" thickBot="1">
      <c r="A3" s="904"/>
      <c r="B3" s="432"/>
      <c r="I3" s="10"/>
      <c r="K3" s="219"/>
      <c r="L3" s="219"/>
      <c r="U3" s="89"/>
    </row>
    <row r="4" spans="1:213" ht="11.5" thickTop="1" thickBot="1">
      <c r="A4" s="68" t="s">
        <v>163</v>
      </c>
      <c r="D4" s="12" t="s">
        <v>162</v>
      </c>
      <c r="E4" s="499" t="s">
        <v>165</v>
      </c>
      <c r="F4" s="498"/>
      <c r="H4" s="498"/>
      <c r="I4" s="498"/>
      <c r="J4" s="498"/>
      <c r="K4" s="498"/>
      <c r="L4" s="498"/>
      <c r="T4" s="226"/>
      <c r="V4" s="233"/>
    </row>
    <row r="5" spans="1:213" s="3" customFormat="1" ht="7.5" thickTop="1">
      <c r="A5" s="87" t="s">
        <v>70</v>
      </c>
      <c r="B5" s="465" t="s">
        <v>152</v>
      </c>
      <c r="C5" s="465" t="s">
        <v>154</v>
      </c>
      <c r="D5" s="474" t="s">
        <v>153</v>
      </c>
      <c r="E5" s="541" t="s">
        <v>200</v>
      </c>
      <c r="F5" s="536" t="s">
        <v>203</v>
      </c>
      <c r="G5" s="536" t="s">
        <v>200</v>
      </c>
      <c r="H5" s="536" t="s">
        <v>203</v>
      </c>
      <c r="I5" s="536" t="s">
        <v>200</v>
      </c>
      <c r="J5" s="536" t="s">
        <v>203</v>
      </c>
      <c r="K5" s="536" t="s">
        <v>114</v>
      </c>
      <c r="L5" s="536" t="s">
        <v>114</v>
      </c>
      <c r="M5" s="536" t="s">
        <v>242</v>
      </c>
      <c r="N5" s="536" t="s">
        <v>246</v>
      </c>
      <c r="O5" s="536" t="s">
        <v>242</v>
      </c>
      <c r="P5" s="536" t="s">
        <v>254</v>
      </c>
      <c r="Q5" s="536" t="s">
        <v>254</v>
      </c>
      <c r="R5" s="536" t="s">
        <v>242</v>
      </c>
      <c r="S5" s="536" t="s">
        <v>253</v>
      </c>
      <c r="T5" s="90"/>
      <c r="U5" s="70"/>
      <c r="V5" s="70"/>
      <c r="W5" s="90"/>
      <c r="X5" s="70"/>
      <c r="Y5" s="90"/>
      <c r="Z5" s="90"/>
      <c r="AA5" s="90"/>
      <c r="AB5" s="90"/>
      <c r="AC5" s="90"/>
      <c r="AD5" s="90"/>
      <c r="AE5" s="90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</row>
    <row r="6" spans="1:213" s="70" customFormat="1" ht="7.5" thickBot="1">
      <c r="A6" s="7" t="s">
        <v>71</v>
      </c>
      <c r="B6" s="814">
        <f>DATE(Summary!$B$1,1,30)</f>
        <v>44226</v>
      </c>
      <c r="C6" s="337">
        <v>44491</v>
      </c>
      <c r="D6" s="337">
        <v>44504</v>
      </c>
      <c r="E6" s="400">
        <v>44221</v>
      </c>
      <c r="F6" s="337">
        <v>44228</v>
      </c>
      <c r="G6" s="337">
        <v>44243</v>
      </c>
      <c r="H6" s="337">
        <v>44260</v>
      </c>
      <c r="I6" s="337">
        <v>44280</v>
      </c>
      <c r="J6" s="337">
        <v>44292</v>
      </c>
      <c r="K6" s="337">
        <v>44290</v>
      </c>
      <c r="L6" s="337">
        <v>44293</v>
      </c>
      <c r="M6" s="337">
        <v>44259</v>
      </c>
      <c r="N6" s="337">
        <v>44764</v>
      </c>
      <c r="O6" s="337">
        <v>44425</v>
      </c>
      <c r="P6" s="337">
        <v>44497</v>
      </c>
      <c r="Q6" s="337">
        <v>44512</v>
      </c>
      <c r="R6" s="337">
        <v>44550</v>
      </c>
      <c r="S6" s="337">
        <v>44572</v>
      </c>
      <c r="T6" s="89"/>
    </row>
    <row r="7" spans="1:213" s="207" customFormat="1" ht="7.5" thickTop="1">
      <c r="A7" s="215" t="s">
        <v>14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89"/>
    </row>
    <row r="8" spans="1:213" s="216" customFormat="1" ht="7.5" thickBot="1">
      <c r="A8" s="217" t="s">
        <v>15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</row>
    <row r="9" spans="1:213" s="282" customFormat="1" ht="7.5" hidden="1" thickTop="1">
      <c r="A9" s="280" t="s">
        <v>123</v>
      </c>
      <c r="B9" s="484"/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283"/>
      <c r="W9" s="283"/>
      <c r="X9" s="283"/>
      <c r="Y9" s="283"/>
      <c r="Z9" s="283"/>
      <c r="AA9" s="283"/>
      <c r="AB9" s="283"/>
      <c r="AC9" s="283"/>
      <c r="AD9" s="283"/>
      <c r="AE9" s="283"/>
    </row>
    <row r="10" spans="1:213" s="282" customFormat="1" hidden="1">
      <c r="A10" s="274" t="s">
        <v>135</v>
      </c>
      <c r="B10" s="485" t="b">
        <f t="shared" ref="B10:S10" si="0">OR(ISNUMBER(HLOOKUP(B9,B46:S47,2)),ISNUMBER(HLOOKUP(B9,B83:S86,2)))</f>
        <v>0</v>
      </c>
      <c r="C10" s="485" t="b">
        <f t="shared" si="0"/>
        <v>0</v>
      </c>
      <c r="D10" s="485" t="b">
        <f t="shared" si="0"/>
        <v>0</v>
      </c>
      <c r="E10" s="485" t="b">
        <f t="shared" si="0"/>
        <v>0</v>
      </c>
      <c r="F10" s="485" t="b">
        <f t="shared" si="0"/>
        <v>0</v>
      </c>
      <c r="G10" s="485" t="b">
        <f t="shared" si="0"/>
        <v>0</v>
      </c>
      <c r="H10" s="485" t="b">
        <f t="shared" si="0"/>
        <v>0</v>
      </c>
      <c r="I10" s="485" t="b">
        <f t="shared" si="0"/>
        <v>0</v>
      </c>
      <c r="J10" s="485" t="b">
        <f t="shared" ref="J10" si="1">OR(ISNUMBER(HLOOKUP(J9,J46:AA47,2)),ISNUMBER(HLOOKUP(J9,J83:AA86,2)))</f>
        <v>0</v>
      </c>
      <c r="K10" s="485" t="b">
        <f t="shared" ref="K10" si="2">OR(ISNUMBER(HLOOKUP(K9,K46:AB47,2)),ISNUMBER(HLOOKUP(K9,K83:AB86,2)))</f>
        <v>0</v>
      </c>
      <c r="L10" s="485" t="b">
        <f t="shared" ref="L10" si="3">OR(ISNUMBER(HLOOKUP(L9,L46:AC47,2)),ISNUMBER(HLOOKUP(L9,L83:AC86,2)))</f>
        <v>0</v>
      </c>
      <c r="M10" s="485" t="b">
        <f t="shared" ref="M10" si="4">OR(ISNUMBER(HLOOKUP(M9,M46:AD47,2)),ISNUMBER(HLOOKUP(M9,M83:AD86,2)))</f>
        <v>0</v>
      </c>
      <c r="N10" s="485" t="b">
        <f t="shared" ref="N10" si="5">OR(ISNUMBER(HLOOKUP(N9,N46:AE47,2)),ISNUMBER(HLOOKUP(N9,N83:AE86,2)))</f>
        <v>0</v>
      </c>
      <c r="O10" s="485" t="b">
        <f t="shared" si="0"/>
        <v>0</v>
      </c>
      <c r="P10" s="485" t="b">
        <f t="shared" si="0"/>
        <v>0</v>
      </c>
      <c r="Q10" s="485" t="b">
        <f t="shared" si="0"/>
        <v>0</v>
      </c>
      <c r="R10" s="485" t="b">
        <f t="shared" si="0"/>
        <v>0</v>
      </c>
      <c r="S10" s="485" t="b">
        <f t="shared" si="0"/>
        <v>0</v>
      </c>
      <c r="T10" s="283"/>
      <c r="W10" s="283"/>
      <c r="X10" s="283"/>
      <c r="Y10" s="283"/>
      <c r="Z10" s="283"/>
      <c r="AA10" s="283"/>
      <c r="AB10" s="283"/>
      <c r="AC10" s="283"/>
      <c r="AD10" s="283"/>
      <c r="AE10" s="283"/>
    </row>
    <row r="11" spans="1:213" s="282" customFormat="1" hidden="1">
      <c r="A11" s="274" t="s">
        <v>133</v>
      </c>
      <c r="B11" s="485">
        <f>IF(OR(B10,B7=0),0,1)</f>
        <v>0</v>
      </c>
      <c r="C11" s="485">
        <f>IF(OR(C10,C7=0),0,1)</f>
        <v>0</v>
      </c>
      <c r="D11" s="485">
        <f>IF(OR(D10,D7=0),0,1)</f>
        <v>0</v>
      </c>
      <c r="E11" s="485">
        <f>IF(OR(E10,E7=0),0,1)</f>
        <v>0</v>
      </c>
      <c r="F11" s="485">
        <f t="shared" ref="F11:S11" si="6">IF(OR(F10,F7=0),0,1)</f>
        <v>0</v>
      </c>
      <c r="G11" s="485">
        <f t="shared" si="6"/>
        <v>0</v>
      </c>
      <c r="H11" s="485">
        <f t="shared" si="6"/>
        <v>0</v>
      </c>
      <c r="I11" s="485">
        <f t="shared" si="6"/>
        <v>0</v>
      </c>
      <c r="J11" s="485">
        <f t="shared" ref="J11:N11" si="7">IF(OR(J10,J7=0),0,1)</f>
        <v>0</v>
      </c>
      <c r="K11" s="485">
        <f t="shared" si="7"/>
        <v>0</v>
      </c>
      <c r="L11" s="485">
        <f t="shared" si="7"/>
        <v>0</v>
      </c>
      <c r="M11" s="485">
        <f t="shared" si="7"/>
        <v>0</v>
      </c>
      <c r="N11" s="485">
        <f t="shared" si="7"/>
        <v>0</v>
      </c>
      <c r="O11" s="485">
        <f t="shared" si="6"/>
        <v>0</v>
      </c>
      <c r="P11" s="485">
        <f t="shared" si="6"/>
        <v>0</v>
      </c>
      <c r="Q11" s="485">
        <f t="shared" si="6"/>
        <v>0</v>
      </c>
      <c r="R11" s="485">
        <f t="shared" si="6"/>
        <v>0</v>
      </c>
      <c r="S11" s="485">
        <f t="shared" si="6"/>
        <v>0</v>
      </c>
      <c r="T11" s="283"/>
      <c r="W11" s="283"/>
      <c r="X11" s="283"/>
      <c r="Y11" s="283"/>
      <c r="Z11" s="283"/>
      <c r="AA11" s="283"/>
      <c r="AB11" s="283"/>
      <c r="AC11" s="283"/>
      <c r="AD11" s="283"/>
      <c r="AE11" s="283"/>
    </row>
    <row r="12" spans="1:213" s="271" customFormat="1" hidden="1">
      <c r="A12" s="274" t="s">
        <v>134</v>
      </c>
      <c r="B12" s="486">
        <f>IF(B7&gt;0,1,0)</f>
        <v>0</v>
      </c>
      <c r="C12" s="486">
        <f t="shared" ref="C12:S12" si="8">IF(C7&gt;0,IF(C9=B9,B12,B12+1),B12)</f>
        <v>0</v>
      </c>
      <c r="D12" s="486">
        <f t="shared" si="8"/>
        <v>0</v>
      </c>
      <c r="E12" s="486">
        <f t="shared" si="8"/>
        <v>0</v>
      </c>
      <c r="F12" s="486">
        <f t="shared" si="8"/>
        <v>0</v>
      </c>
      <c r="G12" s="486">
        <f t="shared" si="8"/>
        <v>0</v>
      </c>
      <c r="H12" s="486">
        <f t="shared" si="8"/>
        <v>0</v>
      </c>
      <c r="I12" s="486">
        <f t="shared" si="8"/>
        <v>0</v>
      </c>
      <c r="J12" s="486">
        <f t="shared" ref="J12" si="9">IF(J7&gt;0,IF(J9=I9,I12,I12+1),I12)</f>
        <v>0</v>
      </c>
      <c r="K12" s="486">
        <f t="shared" ref="K12" si="10">IF(K7&gt;0,IF(K9=J9,J12,J12+1),J12)</f>
        <v>0</v>
      </c>
      <c r="L12" s="486">
        <f t="shared" ref="L12" si="11">IF(L7&gt;0,IF(L9=K9,K12,K12+1),K12)</f>
        <v>0</v>
      </c>
      <c r="M12" s="486">
        <f t="shared" ref="M12" si="12">IF(M7&gt;0,IF(M9=L9,L12,L12+1),L12)</f>
        <v>0</v>
      </c>
      <c r="N12" s="486">
        <f t="shared" ref="N12" si="13">IF(N7&gt;0,IF(N9=M9,M12,M12+1),M12)</f>
        <v>0</v>
      </c>
      <c r="O12" s="486">
        <f t="shared" si="8"/>
        <v>0</v>
      </c>
      <c r="P12" s="486">
        <f t="shared" si="8"/>
        <v>0</v>
      </c>
      <c r="Q12" s="486">
        <f t="shared" si="8"/>
        <v>0</v>
      </c>
      <c r="R12" s="486">
        <f t="shared" si="8"/>
        <v>0</v>
      </c>
      <c r="S12" s="486">
        <f t="shared" si="8"/>
        <v>0</v>
      </c>
      <c r="T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1:213" s="271" customFormat="1" ht="7.5" hidden="1" thickBot="1">
      <c r="A13" s="274" t="s">
        <v>122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272"/>
      <c r="W13" s="272"/>
      <c r="X13" s="272"/>
      <c r="Y13" s="272"/>
      <c r="Z13" s="272"/>
      <c r="AA13" s="272"/>
      <c r="AB13" s="272"/>
      <c r="AC13" s="272"/>
      <c r="AD13" s="272"/>
      <c r="AE13" s="272"/>
    </row>
    <row r="14" spans="1:213" ht="11.5" thickTop="1" thickBot="1">
      <c r="A14" s="68" t="s">
        <v>16</v>
      </c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70"/>
      <c r="U14" s="70"/>
      <c r="V14" s="70"/>
    </row>
    <row r="15" spans="1:213" s="53" customFormat="1" ht="7.5" thickTop="1">
      <c r="A15" s="52" t="s">
        <v>25</v>
      </c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213" s="69" customFormat="1">
      <c r="A16" s="55" t="s">
        <v>26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</row>
    <row r="17" spans="1:31" s="114" customFormat="1" ht="7.5" thickBot="1">
      <c r="A17" s="112" t="s">
        <v>29</v>
      </c>
      <c r="B17" s="489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s="69" customFormat="1" ht="11.5" thickTop="1" thickBot="1">
      <c r="A18" s="115" t="s">
        <v>72</v>
      </c>
      <c r="B18" s="490">
        <f>SUM(B15:B17)</f>
        <v>0</v>
      </c>
      <c r="C18" s="490">
        <f>SUM(C15:C17)</f>
        <v>0</v>
      </c>
      <c r="D18" s="490">
        <f>SUM(D15:D17)</f>
        <v>0</v>
      </c>
      <c r="E18" s="490">
        <f>SUM(E15:E17)</f>
        <v>0</v>
      </c>
      <c r="F18" s="490">
        <f t="shared" ref="F18:S18" si="14">SUM(F15:F17)</f>
        <v>0</v>
      </c>
      <c r="G18" s="490">
        <f t="shared" si="14"/>
        <v>0</v>
      </c>
      <c r="H18" s="490">
        <f t="shared" si="14"/>
        <v>0</v>
      </c>
      <c r="I18" s="490">
        <f t="shared" si="14"/>
        <v>0</v>
      </c>
      <c r="J18" s="490">
        <f t="shared" ref="J18:N18" si="15">SUM(J15:J17)</f>
        <v>0</v>
      </c>
      <c r="K18" s="490">
        <f t="shared" si="15"/>
        <v>0</v>
      </c>
      <c r="L18" s="490">
        <f t="shared" si="15"/>
        <v>0</v>
      </c>
      <c r="M18" s="490">
        <f t="shared" si="15"/>
        <v>0</v>
      </c>
      <c r="N18" s="490">
        <f t="shared" si="15"/>
        <v>0</v>
      </c>
      <c r="O18" s="490">
        <f t="shared" si="14"/>
        <v>0</v>
      </c>
      <c r="P18" s="490">
        <f t="shared" si="14"/>
        <v>0</v>
      </c>
      <c r="Q18" s="490">
        <f t="shared" si="14"/>
        <v>0</v>
      </c>
      <c r="R18" s="490">
        <f t="shared" si="14"/>
        <v>0</v>
      </c>
      <c r="S18" s="490">
        <f t="shared" si="14"/>
        <v>0</v>
      </c>
    </row>
    <row r="19" spans="1:31" s="48" customFormat="1" ht="11.5" thickTop="1" thickBot="1">
      <c r="A19" s="11" t="s">
        <v>74</v>
      </c>
      <c r="B19" s="301" t="str">
        <f t="shared" ref="B19" ca="1" si="16">IF(OR(LEFT(B5,2)="un",LEFT(B5,1)="(",B18&lt;&gt;0,B32&lt;&gt;0, B5="",B6&gt;NOW()),"","Acct Due")</f>
        <v/>
      </c>
      <c r="C19" s="301" t="str">
        <f t="shared" ref="C19" ca="1" si="17">IF(OR(LEFT(C5,2)="un",LEFT(C5,1)="(",C18&lt;&gt;0,C32&lt;&gt;0, C5="",C6&gt;NOW()),"","Acct Due")</f>
        <v/>
      </c>
      <c r="D19" s="301" t="str">
        <f t="shared" ref="D19" ca="1" si="18">IF(OR(LEFT(D5,2)="un",LEFT(D5,1)="(",D18&lt;&gt;0,D32&lt;&gt;0, D5="",D6&gt;NOW()),"","Acct Due")</f>
        <v/>
      </c>
      <c r="E19" s="301" t="str">
        <f t="shared" ref="E19" ca="1" si="19">IF(OR(LEFT(E5,2)="un",LEFT(E5,1)="(",E18&lt;&gt;0,E32&lt;&gt;0, E5="",E6&gt;NOW()),"","Acct Due")</f>
        <v/>
      </c>
      <c r="F19" s="301" t="str">
        <f t="shared" ref="F19" ca="1" si="20">IF(OR(LEFT(F5,2)="un",LEFT(F5,1)="(",F18&lt;&gt;0,F32&lt;&gt;0, F5="",F6&gt;NOW()),"","Acct Due")</f>
        <v/>
      </c>
      <c r="G19" s="301" t="str">
        <f t="shared" ref="G19" ca="1" si="21">IF(OR(LEFT(G5,2)="un",LEFT(G5,1)="(",G18&lt;&gt;0,G32&lt;&gt;0, G5="",G6&gt;NOW()),"","Acct Due")</f>
        <v/>
      </c>
      <c r="H19" s="301" t="str">
        <f t="shared" ref="H19" ca="1" si="22">IF(OR(LEFT(H5,2)="un",LEFT(H5,1)="(",H18&lt;&gt;0,H32&lt;&gt;0, H5="",H6&gt;NOW()),"","Acct Due")</f>
        <v/>
      </c>
      <c r="I19" s="301" t="str">
        <f t="shared" ref="I19" ca="1" si="23">IF(OR(LEFT(I5,2)="un",LEFT(I5,1)="(",I18&lt;&gt;0,I32&lt;&gt;0, I5="",I6&gt;NOW()),"","Acct Due")</f>
        <v/>
      </c>
      <c r="J19" s="301" t="str">
        <f t="shared" ref="J19" ca="1" si="24">IF(OR(LEFT(J5,2)="un",LEFT(J5,1)="(",J18&lt;&gt;0,J32&lt;&gt;0, J5="",J6&gt;NOW()),"","Acct Due")</f>
        <v/>
      </c>
      <c r="K19" s="301" t="str">
        <f t="shared" ref="K19" ca="1" si="25">IF(OR(LEFT(K5,2)="un",LEFT(K5,1)="(",K18&lt;&gt;0,K32&lt;&gt;0, K5="",K6&gt;NOW()),"","Acct Due")</f>
        <v/>
      </c>
      <c r="L19" s="301" t="str">
        <f t="shared" ref="L19" ca="1" si="26">IF(OR(LEFT(L5,2)="un",LEFT(L5,1)="(",L18&lt;&gt;0,L32&lt;&gt;0, L5="",L6&gt;NOW()),"","Acct Due")</f>
        <v/>
      </c>
      <c r="M19" s="301" t="str">
        <f ca="1">IF(OR(LEFT(M5,2)="un",LEFT(M5,1)="(",M18&lt;&gt;0,M32&lt;&gt;0, M5="",M6&gt;NOW()),"","Acct Due")</f>
        <v/>
      </c>
      <c r="N19" s="301" t="str">
        <f t="shared" ref="N19" ca="1" si="27">IF(OR(LEFT(N5,2)="un",LEFT(N5,1)="(",N18&lt;&gt;0,N32&lt;&gt;0, N5="",N6&gt;NOW()),"","Acct Due")</f>
        <v/>
      </c>
      <c r="O19" s="301" t="str">
        <f t="shared" ref="O19" ca="1" si="28">IF(OR(LEFT(O5,2)="un",LEFT(O5,1)="(",O18&lt;&gt;0,O32&lt;&gt;0, O5="",O6&gt;NOW()),"","Acct Due")</f>
        <v/>
      </c>
      <c r="P19" s="301" t="str">
        <f t="shared" ref="P19" ca="1" si="29">IF(OR(LEFT(P5,2)="un",LEFT(P5,1)="(",P18&lt;&gt;0,P32&lt;&gt;0, P5="",P6&gt;NOW()),"","Acct Due")</f>
        <v/>
      </c>
      <c r="Q19" s="301" t="str">
        <f t="shared" ref="Q19" ca="1" si="30">IF(OR(LEFT(Q5,2)="un",LEFT(Q5,1)="(",Q18&lt;&gt;0,Q32&lt;&gt;0, Q5="",Q6&gt;NOW()),"","Acct Due")</f>
        <v/>
      </c>
      <c r="R19" s="301" t="str">
        <f t="shared" ref="R19" ca="1" si="31">IF(OR(LEFT(R5,2)="un",LEFT(R5,1)="(",R18&lt;&gt;0,R32&lt;&gt;0, R5="",R6&gt;NOW()),"","Acct Due")</f>
        <v/>
      </c>
      <c r="S19" s="301" t="str">
        <f t="shared" ref="S19" ca="1" si="32">IF(OR(LEFT(S5,2)="un",LEFT(S5,1)="(",S18&lt;&gt;0,S32&lt;&gt;0, S5="",S6&gt;NOW()),"","Acct Due")</f>
        <v/>
      </c>
      <c r="T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s="53" customFormat="1" ht="7.5" thickTop="1">
      <c r="A20" s="52" t="s">
        <v>39</v>
      </c>
      <c r="B20" s="345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>
        <v>48.5</v>
      </c>
      <c r="Q20" s="344"/>
      <c r="R20" s="344"/>
      <c r="S20" s="344">
        <v>95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s="69" customFormat="1">
      <c r="A21" s="55" t="s">
        <v>40</v>
      </c>
      <c r="B21" s="348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>
        <v>38.15</v>
      </c>
      <c r="O21" s="347"/>
      <c r="P21" s="347">
        <v>106.2</v>
      </c>
      <c r="Q21" s="347">
        <v>53.42</v>
      </c>
      <c r="R21" s="347"/>
      <c r="S21" s="347"/>
    </row>
    <row r="22" spans="1:31" s="69" customFormat="1">
      <c r="A22" s="55" t="s">
        <v>41</v>
      </c>
      <c r="B22" s="348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>
        <v>118.29</v>
      </c>
      <c r="O22" s="347"/>
      <c r="P22" s="347"/>
      <c r="Q22" s="347"/>
      <c r="R22" s="347"/>
      <c r="S22" s="347"/>
    </row>
    <row r="23" spans="1:31" s="102" customFormat="1">
      <c r="A23" s="57" t="s">
        <v>43</v>
      </c>
      <c r="B23" s="492">
        <f>+'OTHER COSTS'!B82</f>
        <v>0</v>
      </c>
      <c r="C23" s="492">
        <f>+'OTHER COSTS'!C82</f>
        <v>0</v>
      </c>
      <c r="D23" s="492">
        <f>+'OTHER COSTS'!D82</f>
        <v>0</v>
      </c>
      <c r="E23" s="492">
        <f>+'OTHER COSTS'!E82</f>
        <v>0</v>
      </c>
      <c r="F23" s="492">
        <f>+'OTHER COSTS'!F82</f>
        <v>0</v>
      </c>
      <c r="G23" s="492">
        <f>+'OTHER COSTS'!G82</f>
        <v>0</v>
      </c>
      <c r="H23" s="492">
        <f>+'OTHER COSTS'!H82</f>
        <v>0</v>
      </c>
      <c r="I23" s="492">
        <f>+'OTHER COSTS'!I82</f>
        <v>0</v>
      </c>
      <c r="J23" s="492">
        <f>+'OTHER COSTS'!J82</f>
        <v>0</v>
      </c>
      <c r="K23" s="492">
        <f>+'OTHER COSTS'!K82</f>
        <v>0</v>
      </c>
      <c r="L23" s="492">
        <f>+'OTHER COSTS'!L82</f>
        <v>0</v>
      </c>
      <c r="M23" s="492">
        <f>+'OTHER COSTS'!M82</f>
        <v>0</v>
      </c>
      <c r="N23" s="492">
        <f>+'OTHER COSTS'!N82</f>
        <v>8.68</v>
      </c>
      <c r="O23" s="492">
        <f>+'OTHER COSTS'!O82</f>
        <v>0</v>
      </c>
      <c r="P23" s="492">
        <f>+'OTHER COSTS'!P82</f>
        <v>0</v>
      </c>
      <c r="Q23" s="492">
        <f>+'OTHER COSTS'!Q82</f>
        <v>41.15</v>
      </c>
      <c r="R23" s="492">
        <f>+'OTHER COSTS'!R82</f>
        <v>39</v>
      </c>
      <c r="S23" s="492">
        <f>+'OTHER COSTS'!S82</f>
        <v>0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s="50" customFormat="1">
      <c r="A24" s="92" t="s">
        <v>44</v>
      </c>
      <c r="B24" s="493">
        <f>SUM(B20:B23)</f>
        <v>0</v>
      </c>
      <c r="C24" s="493">
        <f>SUM(C20:C23)</f>
        <v>0</v>
      </c>
      <c r="D24" s="493">
        <f>SUM(D20:D23)</f>
        <v>0</v>
      </c>
      <c r="E24" s="493">
        <f>SUM(E20:E23)</f>
        <v>0</v>
      </c>
      <c r="F24" s="493">
        <f t="shared" ref="F24:S24" si="33">SUM(F20:F23)</f>
        <v>0</v>
      </c>
      <c r="G24" s="493"/>
      <c r="H24" s="493">
        <f t="shared" si="33"/>
        <v>0</v>
      </c>
      <c r="I24" s="493">
        <f t="shared" si="33"/>
        <v>0</v>
      </c>
      <c r="J24" s="493">
        <f t="shared" ref="J24:N24" si="34">SUM(J20:J23)</f>
        <v>0</v>
      </c>
      <c r="K24" s="493">
        <f t="shared" si="34"/>
        <v>0</v>
      </c>
      <c r="L24" s="493">
        <f t="shared" si="34"/>
        <v>0</v>
      </c>
      <c r="M24" s="493">
        <f t="shared" si="34"/>
        <v>0</v>
      </c>
      <c r="N24" s="493">
        <f t="shared" si="34"/>
        <v>165.12</v>
      </c>
      <c r="O24" s="493">
        <f t="shared" si="33"/>
        <v>0</v>
      </c>
      <c r="P24" s="493">
        <f t="shared" si="33"/>
        <v>154.69999999999999</v>
      </c>
      <c r="Q24" s="493">
        <f t="shared" si="33"/>
        <v>94.57</v>
      </c>
      <c r="R24" s="493">
        <f t="shared" si="33"/>
        <v>39</v>
      </c>
      <c r="S24" s="493">
        <f t="shared" si="33"/>
        <v>95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95" customFormat="1" ht="7.5" thickBot="1">
      <c r="A25" s="93" t="s">
        <v>88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>
        <v>41.95</v>
      </c>
      <c r="O25" s="354"/>
      <c r="P25" s="354"/>
      <c r="Q25" s="354">
        <v>44</v>
      </c>
      <c r="R25" s="354"/>
      <c r="S25" s="354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s="48" customFormat="1" ht="11.5" thickTop="1" thickBot="1">
      <c r="A26" s="94" t="s">
        <v>75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s="53" customFormat="1" ht="7.5" thickTop="1">
      <c r="A27" s="52" t="s">
        <v>49</v>
      </c>
      <c r="B27" s="496">
        <f>MAINTENANCE!C55</f>
        <v>0</v>
      </c>
      <c r="C27" s="496">
        <f>MAINTENANCE!D55</f>
        <v>0</v>
      </c>
      <c r="D27" s="496">
        <f>MAINTENANCE!E55</f>
        <v>0</v>
      </c>
      <c r="E27" s="496">
        <f>MAINTENANCE!F55</f>
        <v>0</v>
      </c>
      <c r="F27" s="496">
        <f>MAINTENANCE!G55</f>
        <v>0</v>
      </c>
      <c r="G27" s="496">
        <f>MAINTENANCE!H55</f>
        <v>0</v>
      </c>
      <c r="H27" s="496">
        <f>MAINTENANCE!I55</f>
        <v>0</v>
      </c>
      <c r="I27" s="496">
        <f>MAINTENANCE!J55</f>
        <v>0</v>
      </c>
      <c r="J27" s="496">
        <f>MAINTENANCE!K55</f>
        <v>0</v>
      </c>
      <c r="K27" s="496">
        <f>MAINTENANCE!L55</f>
        <v>413.79</v>
      </c>
      <c r="L27" s="496">
        <f>MAINTENANCE!M55</f>
        <v>0</v>
      </c>
      <c r="M27" s="496">
        <f>MAINTENANCE!N55</f>
        <v>325</v>
      </c>
      <c r="N27" s="496">
        <f>MAINTENANCE!O55</f>
        <v>0</v>
      </c>
      <c r="O27" s="496">
        <f>MAINTENANCE!P55</f>
        <v>0</v>
      </c>
      <c r="P27" s="496">
        <f>MAINTENANCE!Q55</f>
        <v>63.510000000000005</v>
      </c>
      <c r="Q27" s="496">
        <f>MAINTENANCE!R55</f>
        <v>0</v>
      </c>
      <c r="R27" s="496">
        <f>MAINTENANCE!S55</f>
        <v>0</v>
      </c>
      <c r="S27" s="496">
        <f>MAINTENANCE!T55</f>
        <v>0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69" customFormat="1">
      <c r="A28" s="55" t="s">
        <v>125</v>
      </c>
      <c r="B28" s="497">
        <f>'OTHER COSTS'!B41+'OTHER COSTS'!B48</f>
        <v>0</v>
      </c>
      <c r="C28" s="497">
        <f>'OTHER COSTS'!C41+'OTHER COSTS'!C48</f>
        <v>0</v>
      </c>
      <c r="D28" s="497">
        <f>'OTHER COSTS'!D41+'OTHER COSTS'!D48</f>
        <v>0</v>
      </c>
      <c r="E28" s="497">
        <f>'OTHER COSTS'!E41+'OTHER COSTS'!E48</f>
        <v>0</v>
      </c>
      <c r="F28" s="497">
        <f>'OTHER COSTS'!F41+'OTHER COSTS'!F48</f>
        <v>0</v>
      </c>
      <c r="G28" s="497">
        <f>'OTHER COSTS'!G41+'OTHER COSTS'!G48</f>
        <v>0</v>
      </c>
      <c r="H28" s="497">
        <f>'OTHER COSTS'!H41+'OTHER COSTS'!H48</f>
        <v>0</v>
      </c>
      <c r="I28" s="497">
        <f>'OTHER COSTS'!I41+'OTHER COSTS'!I48</f>
        <v>0</v>
      </c>
      <c r="J28" s="497">
        <f>'OTHER COSTS'!J41+'OTHER COSTS'!J48</f>
        <v>0</v>
      </c>
      <c r="K28" s="497">
        <f>'OTHER COSTS'!K41+'OTHER COSTS'!K48</f>
        <v>25.99</v>
      </c>
      <c r="L28" s="497">
        <f>'OTHER COSTS'!L41+'OTHER COSTS'!L48</f>
        <v>0</v>
      </c>
      <c r="M28" s="497">
        <f>'OTHER COSTS'!M41+'OTHER COSTS'!M48</f>
        <v>0</v>
      </c>
      <c r="N28" s="497">
        <f>'OTHER COSTS'!N41+'OTHER COSTS'!N48</f>
        <v>28</v>
      </c>
      <c r="O28" s="497">
        <f>'OTHER COSTS'!O41+'OTHER COSTS'!O48</f>
        <v>0</v>
      </c>
      <c r="P28" s="497">
        <f>'OTHER COSTS'!P41+'OTHER COSTS'!P48</f>
        <v>0</v>
      </c>
      <c r="Q28" s="497">
        <f>'OTHER COSTS'!Q41+'OTHER COSTS'!Q48</f>
        <v>46.879999999999995</v>
      </c>
      <c r="R28" s="497">
        <f>'OTHER COSTS'!R41+'OTHER COSTS'!R48</f>
        <v>4.4400000000000004</v>
      </c>
      <c r="S28" s="497">
        <f>'OTHER COSTS'!S41+'OTHER COSTS'!S48</f>
        <v>0</v>
      </c>
    </row>
    <row r="29" spans="1:31" s="69" customFormat="1">
      <c r="A29" s="878" t="s">
        <v>225</v>
      </c>
      <c r="B29" s="497">
        <f>'OTHER COSTS'!B59</f>
        <v>0</v>
      </c>
      <c r="C29" s="497">
        <f>'OTHER COSTS'!C59</f>
        <v>0</v>
      </c>
      <c r="D29" s="497">
        <f>'OTHER COSTS'!D59</f>
        <v>0</v>
      </c>
      <c r="E29" s="497">
        <f>'OTHER COSTS'!E59</f>
        <v>1177</v>
      </c>
      <c r="F29" s="497">
        <f>'OTHER COSTS'!F59</f>
        <v>2000</v>
      </c>
      <c r="G29" s="497">
        <f>'OTHER COSTS'!G59</f>
        <v>100.1</v>
      </c>
      <c r="H29" s="497">
        <f>'OTHER COSTS'!H59</f>
        <v>2461.5</v>
      </c>
      <c r="I29" s="497">
        <f>'OTHER COSTS'!I59</f>
        <v>86.83</v>
      </c>
      <c r="J29" s="497">
        <f>'OTHER COSTS'!J59</f>
        <v>2953.85</v>
      </c>
      <c r="K29" s="497">
        <f>'OTHER COSTS'!K59</f>
        <v>0</v>
      </c>
      <c r="L29" s="497">
        <f>'OTHER COSTS'!L59</f>
        <v>400</v>
      </c>
      <c r="M29" s="497">
        <f>'OTHER COSTS'!M59</f>
        <v>0</v>
      </c>
      <c r="N29" s="497">
        <f>'OTHER COSTS'!N59</f>
        <v>0</v>
      </c>
      <c r="O29" s="497">
        <f>'OTHER COSTS'!O59</f>
        <v>0</v>
      </c>
      <c r="P29" s="497">
        <f>'OTHER COSTS'!P59</f>
        <v>0</v>
      </c>
      <c r="Q29" s="497">
        <f>'OTHER COSTS'!Q59</f>
        <v>0</v>
      </c>
      <c r="R29" s="497">
        <f>'OTHER COSTS'!R59</f>
        <v>0</v>
      </c>
      <c r="S29" s="497">
        <f>'OTHER COSTS'!S59</f>
        <v>0</v>
      </c>
    </row>
    <row r="30" spans="1:31" s="102" customFormat="1" ht="9" customHeight="1">
      <c r="A30" s="500" t="s">
        <v>164</v>
      </c>
      <c r="B30" s="357">
        <v>272.91000000000003</v>
      </c>
      <c r="C30" s="357">
        <v>1125.8900000000001</v>
      </c>
      <c r="D30" s="357">
        <v>795.62</v>
      </c>
      <c r="E30" s="357"/>
      <c r="F30" s="357"/>
      <c r="G30" s="357"/>
      <c r="H30" s="357"/>
      <c r="I30" s="357"/>
      <c r="J30" s="357"/>
      <c r="K30" s="357">
        <v>165</v>
      </c>
      <c r="L30" s="357"/>
      <c r="M30" s="357"/>
      <c r="N30" s="357"/>
      <c r="O30" s="357">
        <v>45</v>
      </c>
      <c r="P30" s="357"/>
      <c r="Q30" s="357"/>
      <c r="R30" s="357"/>
      <c r="S30" s="355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s="50" customFormat="1" ht="7.5" thickBot="1">
      <c r="A31" s="92" t="s">
        <v>76</v>
      </c>
      <c r="B31" s="51">
        <f>SUM(B27:B30)</f>
        <v>272.91000000000003</v>
      </c>
      <c r="C31" s="51">
        <f>SUM(C27:C30)</f>
        <v>1125.8900000000001</v>
      </c>
      <c r="D31" s="51">
        <f>SUM(D27:D30)</f>
        <v>795.62</v>
      </c>
      <c r="E31" s="51">
        <f>SUM(E27:E30)</f>
        <v>1177</v>
      </c>
      <c r="F31" s="51">
        <f t="shared" ref="F31:S31" si="35">SUM(F27:F30)</f>
        <v>2000</v>
      </c>
      <c r="G31" s="51">
        <f t="shared" si="35"/>
        <v>100.1</v>
      </c>
      <c r="H31" s="51">
        <f t="shared" si="35"/>
        <v>2461.5</v>
      </c>
      <c r="I31" s="51">
        <f t="shared" si="35"/>
        <v>86.83</v>
      </c>
      <c r="J31" s="51">
        <f t="shared" ref="J31:N31" si="36">SUM(J27:J30)</f>
        <v>2953.85</v>
      </c>
      <c r="K31" s="51">
        <f t="shared" si="36"/>
        <v>604.78</v>
      </c>
      <c r="L31" s="51">
        <f t="shared" si="36"/>
        <v>400</v>
      </c>
      <c r="M31" s="51">
        <f t="shared" si="36"/>
        <v>325</v>
      </c>
      <c r="N31" s="51">
        <f t="shared" si="36"/>
        <v>28</v>
      </c>
      <c r="O31" s="51">
        <f t="shared" si="35"/>
        <v>45</v>
      </c>
      <c r="P31" s="51">
        <f t="shared" si="35"/>
        <v>63.510000000000005</v>
      </c>
      <c r="Q31" s="51">
        <f t="shared" si="35"/>
        <v>46.879999999999995</v>
      </c>
      <c r="R31" s="51">
        <f t="shared" si="35"/>
        <v>4.4400000000000004</v>
      </c>
      <c r="S31" s="47">
        <f t="shared" si="35"/>
        <v>0</v>
      </c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s="81" customFormat="1" ht="11.5" thickTop="1" thickBot="1">
      <c r="A32" s="299" t="s">
        <v>55</v>
      </c>
      <c r="B32" s="54">
        <f>SUM(B25:B30)+B24</f>
        <v>272.91000000000003</v>
      </c>
      <c r="C32" s="54">
        <f>SUM(C25:C30)+C24</f>
        <v>1125.8900000000001</v>
      </c>
      <c r="D32" s="54">
        <f>SUM(D25:D30)+D24</f>
        <v>795.62</v>
      </c>
      <c r="E32" s="54">
        <f>SUM(E25:E30)+E24</f>
        <v>1177</v>
      </c>
      <c r="F32" s="54">
        <f t="shared" ref="F32:S32" si="37">SUM(F25:F30)+F24</f>
        <v>2000</v>
      </c>
      <c r="G32" s="54">
        <f t="shared" si="37"/>
        <v>100.1</v>
      </c>
      <c r="H32" s="54">
        <f t="shared" si="37"/>
        <v>2461.5</v>
      </c>
      <c r="I32" s="54">
        <f t="shared" si="37"/>
        <v>86.83</v>
      </c>
      <c r="J32" s="54">
        <f t="shared" ref="J32:N32" si="38">SUM(J25:J30)+J24</f>
        <v>2953.85</v>
      </c>
      <c r="K32" s="54">
        <f t="shared" si="38"/>
        <v>604.78</v>
      </c>
      <c r="L32" s="54">
        <f t="shared" si="38"/>
        <v>400</v>
      </c>
      <c r="M32" s="54">
        <f t="shared" si="38"/>
        <v>325</v>
      </c>
      <c r="N32" s="54">
        <f t="shared" si="38"/>
        <v>235.07</v>
      </c>
      <c r="O32" s="54">
        <f t="shared" si="37"/>
        <v>45</v>
      </c>
      <c r="P32" s="54">
        <f t="shared" si="37"/>
        <v>218.20999999999998</v>
      </c>
      <c r="Q32" s="54">
        <f t="shared" si="37"/>
        <v>185.45</v>
      </c>
      <c r="R32" s="54">
        <f t="shared" si="37"/>
        <v>43.44</v>
      </c>
      <c r="S32" s="85">
        <f t="shared" si="37"/>
        <v>95</v>
      </c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199" s="48" customFormat="1" ht="8" thickTop="1" thickBot="1">
      <c r="A33" s="303" t="s">
        <v>131</v>
      </c>
      <c r="B33" s="307">
        <f>B18-B32</f>
        <v>-272.91000000000003</v>
      </c>
      <c r="C33" s="307">
        <f>C18-C32</f>
        <v>-1125.8900000000001</v>
      </c>
      <c r="D33" s="307">
        <f>D18-D32</f>
        <v>-795.62</v>
      </c>
      <c r="E33" s="307">
        <f>E18-E32</f>
        <v>-1177</v>
      </c>
      <c r="F33" s="307">
        <f t="shared" ref="F33:S33" si="39">F18-F32</f>
        <v>-2000</v>
      </c>
      <c r="G33" s="307">
        <f t="shared" si="39"/>
        <v>-100.1</v>
      </c>
      <c r="H33" s="307">
        <f t="shared" si="39"/>
        <v>-2461.5</v>
      </c>
      <c r="I33" s="307">
        <f t="shared" si="39"/>
        <v>-86.83</v>
      </c>
      <c r="J33" s="307">
        <f t="shared" ref="J33:N33" si="40">J18-J32</f>
        <v>-2953.85</v>
      </c>
      <c r="K33" s="307">
        <f t="shared" si="40"/>
        <v>-604.78</v>
      </c>
      <c r="L33" s="307">
        <f t="shared" si="40"/>
        <v>-400</v>
      </c>
      <c r="M33" s="307">
        <f t="shared" si="40"/>
        <v>-325</v>
      </c>
      <c r="N33" s="307">
        <f t="shared" si="40"/>
        <v>-235.07</v>
      </c>
      <c r="O33" s="307">
        <f t="shared" si="39"/>
        <v>-45</v>
      </c>
      <c r="P33" s="307">
        <f t="shared" si="39"/>
        <v>-218.20999999999998</v>
      </c>
      <c r="Q33" s="307">
        <f t="shared" si="39"/>
        <v>-185.45</v>
      </c>
      <c r="R33" s="307">
        <f t="shared" si="39"/>
        <v>-43.44</v>
      </c>
      <c r="S33" s="304">
        <f t="shared" si="39"/>
        <v>-95</v>
      </c>
      <c r="T33" s="69"/>
      <c r="U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199" s="225" customFormat="1" ht="8" thickTop="1" thickBot="1">
      <c r="A34" s="96" t="s">
        <v>130</v>
      </c>
      <c r="B34" s="358" t="s">
        <v>235</v>
      </c>
      <c r="C34" s="358" t="s">
        <v>235</v>
      </c>
      <c r="D34" s="358" t="s">
        <v>235</v>
      </c>
      <c r="E34" s="358" t="s">
        <v>235</v>
      </c>
      <c r="F34" s="358" t="s">
        <v>235</v>
      </c>
      <c r="G34" s="358" t="s">
        <v>235</v>
      </c>
      <c r="H34" s="358" t="s">
        <v>235</v>
      </c>
      <c r="I34" s="358" t="s">
        <v>235</v>
      </c>
      <c r="J34" s="358" t="s">
        <v>235</v>
      </c>
      <c r="K34" s="358" t="s">
        <v>235</v>
      </c>
      <c r="L34" s="358" t="s">
        <v>235</v>
      </c>
      <c r="M34" s="358" t="s">
        <v>235</v>
      </c>
      <c r="N34" s="358" t="s">
        <v>235</v>
      </c>
      <c r="O34" s="358" t="s">
        <v>235</v>
      </c>
      <c r="P34" s="358" t="s">
        <v>235</v>
      </c>
      <c r="Q34" s="358" t="s">
        <v>235</v>
      </c>
      <c r="R34" s="358" t="s">
        <v>235</v>
      </c>
      <c r="S34" s="358" t="s">
        <v>235</v>
      </c>
      <c r="T34" s="207"/>
      <c r="U34" s="207"/>
      <c r="W34" s="224"/>
      <c r="X34" s="224"/>
      <c r="Y34" s="224"/>
      <c r="Z34" s="224"/>
      <c r="AA34" s="224"/>
      <c r="AB34" s="224"/>
      <c r="AC34" s="224"/>
      <c r="AD34" s="224"/>
      <c r="AE34" s="224"/>
    </row>
    <row r="35" spans="1:199" s="269" customFormat="1" ht="7.5" hidden="1" thickTop="1">
      <c r="A35" s="265" t="s">
        <v>116</v>
      </c>
      <c r="B35" s="268">
        <f t="shared" ref="B35:K35" si="41">IF(B34="post bal.",B33,0)</f>
        <v>0</v>
      </c>
      <c r="C35" s="268">
        <f t="shared" si="41"/>
        <v>0</v>
      </c>
      <c r="D35" s="268">
        <f t="shared" si="41"/>
        <v>0</v>
      </c>
      <c r="E35" s="268">
        <f t="shared" si="41"/>
        <v>0</v>
      </c>
      <c r="F35" s="268">
        <f t="shared" si="41"/>
        <v>0</v>
      </c>
      <c r="G35" s="268">
        <f t="shared" si="41"/>
        <v>0</v>
      </c>
      <c r="H35" s="268">
        <f t="shared" si="41"/>
        <v>0</v>
      </c>
      <c r="I35" s="268">
        <f t="shared" si="41"/>
        <v>0</v>
      </c>
      <c r="J35" s="268">
        <f t="shared" si="41"/>
        <v>0</v>
      </c>
      <c r="K35" s="268">
        <f t="shared" si="41"/>
        <v>0</v>
      </c>
      <c r="L35" s="268">
        <f t="shared" ref="L35:S35" si="42">IF(L34="post bal.",L33,0)</f>
        <v>0</v>
      </c>
      <c r="M35" s="268">
        <f t="shared" si="42"/>
        <v>0</v>
      </c>
      <c r="N35" s="268">
        <f t="shared" si="42"/>
        <v>0</v>
      </c>
      <c r="O35" s="268">
        <f t="shared" si="42"/>
        <v>0</v>
      </c>
      <c r="P35" s="268">
        <f t="shared" si="42"/>
        <v>0</v>
      </c>
      <c r="Q35" s="268">
        <f t="shared" si="42"/>
        <v>0</v>
      </c>
      <c r="R35" s="268">
        <f t="shared" si="42"/>
        <v>0</v>
      </c>
      <c r="S35" s="268">
        <f t="shared" si="42"/>
        <v>0</v>
      </c>
      <c r="T35" s="268">
        <f>IF(T34="post bal.",T32,0)</f>
        <v>0</v>
      </c>
      <c r="W35" s="268"/>
      <c r="X35" s="268"/>
      <c r="Y35" s="268"/>
      <c r="Z35" s="268"/>
      <c r="AA35" s="268"/>
      <c r="AB35" s="268"/>
      <c r="AC35" s="268"/>
      <c r="AD35" s="268"/>
      <c r="AE35" s="268"/>
    </row>
    <row r="36" spans="1:199" s="266" customFormat="1" hidden="1">
      <c r="A36" s="270" t="s">
        <v>117</v>
      </c>
      <c r="B36" s="266">
        <f t="shared" ref="B36:K36" si="43">IF(B5="Insurance",B30,0)</f>
        <v>272.91000000000003</v>
      </c>
      <c r="C36" s="266">
        <f t="shared" si="43"/>
        <v>0</v>
      </c>
      <c r="D36" s="266">
        <f t="shared" si="43"/>
        <v>0</v>
      </c>
      <c r="E36" s="266">
        <f t="shared" si="43"/>
        <v>0</v>
      </c>
      <c r="F36" s="266">
        <f t="shared" si="43"/>
        <v>0</v>
      </c>
      <c r="G36" s="266">
        <f t="shared" si="43"/>
        <v>0</v>
      </c>
      <c r="H36" s="266">
        <f t="shared" si="43"/>
        <v>0</v>
      </c>
      <c r="I36" s="266">
        <f t="shared" si="43"/>
        <v>0</v>
      </c>
      <c r="J36" s="266">
        <f t="shared" si="43"/>
        <v>0</v>
      </c>
      <c r="K36" s="266">
        <f t="shared" si="43"/>
        <v>0</v>
      </c>
      <c r="L36" s="266">
        <f t="shared" ref="L36:S36" si="44">IF(L5="Insurance",L30,0)</f>
        <v>0</v>
      </c>
      <c r="M36" s="266">
        <f t="shared" si="44"/>
        <v>0</v>
      </c>
      <c r="N36" s="266">
        <f t="shared" si="44"/>
        <v>0</v>
      </c>
      <c r="O36" s="266">
        <f t="shared" si="44"/>
        <v>0</v>
      </c>
      <c r="P36" s="266">
        <f t="shared" si="44"/>
        <v>0</v>
      </c>
      <c r="Q36" s="266">
        <f t="shared" si="44"/>
        <v>0</v>
      </c>
      <c r="R36" s="266">
        <f t="shared" si="44"/>
        <v>0</v>
      </c>
      <c r="S36" s="266">
        <f t="shared" si="44"/>
        <v>0</v>
      </c>
      <c r="W36" s="267"/>
      <c r="X36" s="267"/>
      <c r="Y36" s="267"/>
      <c r="Z36" s="267"/>
      <c r="AA36" s="267"/>
      <c r="AB36" s="267"/>
      <c r="AC36" s="267"/>
      <c r="AD36" s="267"/>
      <c r="AE36" s="267"/>
    </row>
    <row r="37" spans="1:199" s="266" customFormat="1" hidden="1">
      <c r="A37" s="270" t="s">
        <v>118</v>
      </c>
      <c r="B37" s="266">
        <f t="shared" ref="B37:K37" si="45">IF(B5="Mooring",B31,0)</f>
        <v>0</v>
      </c>
      <c r="C37" s="266">
        <f t="shared" si="45"/>
        <v>0</v>
      </c>
      <c r="D37" s="266">
        <f t="shared" si="45"/>
        <v>795.62</v>
      </c>
      <c r="E37" s="266">
        <f t="shared" si="45"/>
        <v>0</v>
      </c>
      <c r="F37" s="266">
        <f t="shared" si="45"/>
        <v>0</v>
      </c>
      <c r="G37" s="266">
        <f t="shared" si="45"/>
        <v>0</v>
      </c>
      <c r="H37" s="266">
        <f t="shared" si="45"/>
        <v>0</v>
      </c>
      <c r="I37" s="266">
        <f t="shared" si="45"/>
        <v>0</v>
      </c>
      <c r="J37" s="266">
        <f t="shared" si="45"/>
        <v>0</v>
      </c>
      <c r="K37" s="266">
        <f t="shared" si="45"/>
        <v>0</v>
      </c>
      <c r="L37" s="266">
        <f t="shared" ref="L37:S37" si="46">IF(L5="Mooring",L31,0)</f>
        <v>0</v>
      </c>
      <c r="M37" s="266">
        <f t="shared" si="46"/>
        <v>0</v>
      </c>
      <c r="N37" s="266">
        <f t="shared" si="46"/>
        <v>0</v>
      </c>
      <c r="O37" s="266">
        <f t="shared" si="46"/>
        <v>0</v>
      </c>
      <c r="P37" s="266">
        <f t="shared" si="46"/>
        <v>0</v>
      </c>
      <c r="Q37" s="266">
        <f t="shared" si="46"/>
        <v>0</v>
      </c>
      <c r="R37" s="266">
        <f t="shared" si="46"/>
        <v>0</v>
      </c>
      <c r="S37" s="266">
        <f t="shared" si="46"/>
        <v>0</v>
      </c>
      <c r="W37" s="267"/>
      <c r="X37" s="267"/>
      <c r="Y37" s="267"/>
      <c r="Z37" s="267"/>
      <c r="AA37" s="267"/>
      <c r="AB37" s="267"/>
      <c r="AC37" s="267"/>
      <c r="AD37" s="267"/>
      <c r="AE37" s="267"/>
    </row>
    <row r="38" spans="1:199" s="266" customFormat="1" hidden="1">
      <c r="A38" s="270" t="s">
        <v>119</v>
      </c>
      <c r="B38" s="266">
        <f t="shared" ref="B38:K38" si="47">IF(B5="Licence",B32,0)</f>
        <v>0</v>
      </c>
      <c r="C38" s="266">
        <f t="shared" si="47"/>
        <v>1125.8900000000001</v>
      </c>
      <c r="D38" s="266">
        <f t="shared" si="47"/>
        <v>0</v>
      </c>
      <c r="E38" s="266">
        <f t="shared" si="47"/>
        <v>0</v>
      </c>
      <c r="F38" s="266">
        <f t="shared" si="47"/>
        <v>0</v>
      </c>
      <c r="G38" s="266">
        <f t="shared" si="47"/>
        <v>0</v>
      </c>
      <c r="H38" s="266">
        <f t="shared" si="47"/>
        <v>0</v>
      </c>
      <c r="I38" s="266">
        <f t="shared" si="47"/>
        <v>0</v>
      </c>
      <c r="J38" s="266">
        <f t="shared" si="47"/>
        <v>0</v>
      </c>
      <c r="K38" s="266">
        <f t="shared" si="47"/>
        <v>0</v>
      </c>
      <c r="L38" s="266">
        <f t="shared" ref="L38:S38" si="48">IF(L5="Licence",L32,0)</f>
        <v>0</v>
      </c>
      <c r="M38" s="266">
        <f t="shared" si="48"/>
        <v>0</v>
      </c>
      <c r="N38" s="266">
        <f t="shared" si="48"/>
        <v>0</v>
      </c>
      <c r="O38" s="266">
        <f t="shared" si="48"/>
        <v>0</v>
      </c>
      <c r="P38" s="266">
        <f t="shared" si="48"/>
        <v>0</v>
      </c>
      <c r="Q38" s="266">
        <f t="shared" si="48"/>
        <v>0</v>
      </c>
      <c r="R38" s="266">
        <f t="shared" si="48"/>
        <v>0</v>
      </c>
      <c r="S38" s="266">
        <f t="shared" si="48"/>
        <v>0</v>
      </c>
      <c r="W38" s="267"/>
      <c r="X38" s="267"/>
      <c r="Y38" s="267"/>
      <c r="Z38" s="267"/>
      <c r="AA38" s="267"/>
      <c r="AB38" s="267"/>
      <c r="AC38" s="267"/>
      <c r="AD38" s="267"/>
      <c r="AE38" s="267"/>
    </row>
    <row r="39" spans="1:199" s="279" customFormat="1" ht="7.5" hidden="1" thickBot="1">
      <c r="A39" s="278" t="s">
        <v>120</v>
      </c>
      <c r="B39" s="279">
        <f t="shared" ref="B39:K39" si="49">B30-SUM(B36:B38)</f>
        <v>0</v>
      </c>
      <c r="C39" s="279">
        <f t="shared" si="49"/>
        <v>0</v>
      </c>
      <c r="D39" s="279">
        <f t="shared" si="49"/>
        <v>0</v>
      </c>
      <c r="E39" s="279">
        <f t="shared" si="49"/>
        <v>0</v>
      </c>
      <c r="F39" s="279">
        <f t="shared" si="49"/>
        <v>0</v>
      </c>
      <c r="G39" s="279">
        <f t="shared" si="49"/>
        <v>0</v>
      </c>
      <c r="H39" s="279">
        <f t="shared" si="49"/>
        <v>0</v>
      </c>
      <c r="I39" s="279">
        <f t="shared" si="49"/>
        <v>0</v>
      </c>
      <c r="J39" s="279">
        <f t="shared" si="49"/>
        <v>0</v>
      </c>
      <c r="K39" s="279">
        <f t="shared" si="49"/>
        <v>165</v>
      </c>
      <c r="L39" s="279">
        <f t="shared" ref="L39:S39" si="50">L30-SUM(L36:L38)</f>
        <v>0</v>
      </c>
      <c r="M39" s="279">
        <f t="shared" si="50"/>
        <v>0</v>
      </c>
      <c r="N39" s="279">
        <f t="shared" si="50"/>
        <v>0</v>
      </c>
      <c r="O39" s="279">
        <f t="shared" si="50"/>
        <v>45</v>
      </c>
      <c r="P39" s="279">
        <f t="shared" si="50"/>
        <v>0</v>
      </c>
      <c r="Q39" s="279">
        <f t="shared" si="50"/>
        <v>0</v>
      </c>
      <c r="R39" s="279">
        <f t="shared" si="50"/>
        <v>0</v>
      </c>
      <c r="S39" s="279">
        <f t="shared" si="50"/>
        <v>0</v>
      </c>
    </row>
    <row r="40" spans="1:199" ht="8" thickTop="1" thickBot="1">
      <c r="H40" t="s">
        <v>171</v>
      </c>
      <c r="K40" t="s">
        <v>171</v>
      </c>
    </row>
    <row r="41" spans="1:199" ht="11.5" thickTop="1" thickBot="1">
      <c r="A41" s="11" t="s">
        <v>146</v>
      </c>
      <c r="U41" s="226"/>
    </row>
    <row r="42" spans="1:199" ht="7.5" thickTop="1">
      <c r="A42" s="87" t="s">
        <v>70</v>
      </c>
      <c r="B42" s="536" t="s">
        <v>160</v>
      </c>
      <c r="C42" s="536" t="s">
        <v>160</v>
      </c>
      <c r="D42" s="536" t="s">
        <v>243</v>
      </c>
      <c r="E42" s="536" t="s">
        <v>160</v>
      </c>
      <c r="F42" s="536" t="s">
        <v>160</v>
      </c>
      <c r="G42" s="536" t="s">
        <v>114</v>
      </c>
      <c r="H42" s="536" t="s">
        <v>160</v>
      </c>
      <c r="I42" s="536" t="s">
        <v>160</v>
      </c>
      <c r="J42" s="536" t="s">
        <v>114</v>
      </c>
      <c r="K42" s="536" t="s">
        <v>242</v>
      </c>
      <c r="L42" s="536" t="s">
        <v>259</v>
      </c>
      <c r="M42" s="536" t="s">
        <v>244</v>
      </c>
      <c r="N42" s="536" t="s">
        <v>245</v>
      </c>
      <c r="O42" s="536" t="s">
        <v>160</v>
      </c>
      <c r="P42" s="536" t="s">
        <v>270</v>
      </c>
      <c r="Q42" s="536" t="s">
        <v>252</v>
      </c>
      <c r="R42" s="536" t="s">
        <v>160</v>
      </c>
      <c r="S42" s="536" t="s">
        <v>160</v>
      </c>
      <c r="T42" s="90"/>
      <c r="U42" s="90"/>
    </row>
    <row r="43" spans="1:199">
      <c r="A43" s="7" t="s">
        <v>71</v>
      </c>
      <c r="B43" s="88">
        <f>Summary!E1</f>
        <v>44287</v>
      </c>
      <c r="C43" s="86">
        <f>B43+7</f>
        <v>44294</v>
      </c>
      <c r="D43" s="86">
        <f>C43+7</f>
        <v>44301</v>
      </c>
      <c r="E43" s="86">
        <f>D43+7</f>
        <v>44308</v>
      </c>
      <c r="F43" s="86">
        <f t="shared" ref="F43:S43" si="51">E43+7</f>
        <v>44315</v>
      </c>
      <c r="G43" s="86">
        <f t="shared" si="51"/>
        <v>44322</v>
      </c>
      <c r="H43" s="86">
        <f t="shared" si="51"/>
        <v>44329</v>
      </c>
      <c r="I43" s="86">
        <f t="shared" si="51"/>
        <v>44336</v>
      </c>
      <c r="J43" s="86">
        <f t="shared" si="51"/>
        <v>44343</v>
      </c>
      <c r="K43" s="86">
        <f t="shared" si="51"/>
        <v>44350</v>
      </c>
      <c r="L43" s="86">
        <f t="shared" si="51"/>
        <v>44357</v>
      </c>
      <c r="M43" s="86">
        <f t="shared" si="51"/>
        <v>44364</v>
      </c>
      <c r="N43" s="86">
        <f t="shared" si="51"/>
        <v>44371</v>
      </c>
      <c r="O43" s="86">
        <f t="shared" si="51"/>
        <v>44378</v>
      </c>
      <c r="P43" s="86">
        <f t="shared" si="51"/>
        <v>44385</v>
      </c>
      <c r="Q43" s="86">
        <f t="shared" si="51"/>
        <v>44392</v>
      </c>
      <c r="R43" s="86">
        <f t="shared" si="51"/>
        <v>44399</v>
      </c>
      <c r="S43" s="86">
        <f t="shared" si="51"/>
        <v>44406</v>
      </c>
      <c r="T43" s="89"/>
      <c r="U43" s="89"/>
      <c r="Z43" s="90"/>
      <c r="AA43" s="90"/>
      <c r="AB43" s="90"/>
      <c r="AC43" s="90"/>
      <c r="AD43" s="90"/>
      <c r="AE43" s="90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</row>
    <row r="44" spans="1:199" s="14" customFormat="1">
      <c r="A44" s="215" t="s">
        <v>14</v>
      </c>
      <c r="B44" s="339">
        <v>0</v>
      </c>
      <c r="C44" s="338"/>
      <c r="D44" s="338">
        <v>5</v>
      </c>
      <c r="E44" s="338"/>
      <c r="F44" s="338"/>
      <c r="G44" s="338">
        <v>2</v>
      </c>
      <c r="H44" s="338"/>
      <c r="I44" s="338"/>
      <c r="J44" s="338">
        <v>4</v>
      </c>
      <c r="K44" s="338">
        <v>5</v>
      </c>
      <c r="L44" s="338">
        <v>2</v>
      </c>
      <c r="M44" s="338">
        <v>4</v>
      </c>
      <c r="N44" s="338">
        <v>6</v>
      </c>
      <c r="O44" s="338"/>
      <c r="P44" s="338"/>
      <c r="Q44" s="338">
        <v>7</v>
      </c>
      <c r="R44" s="338"/>
      <c r="S44" s="338"/>
      <c r="T44" s="89"/>
      <c r="U44" s="207"/>
      <c r="W44" s="90"/>
      <c r="X44" s="90"/>
      <c r="Y44" s="90"/>
      <c r="Z44" s="90"/>
      <c r="AA44" s="90"/>
      <c r="AB44" s="90"/>
      <c r="AC44" s="90"/>
      <c r="AD44" s="90"/>
      <c r="AE44" s="90"/>
    </row>
    <row r="45" spans="1:199" s="208" customFormat="1" ht="7.5" thickBot="1">
      <c r="A45" s="217" t="s">
        <v>15</v>
      </c>
      <c r="B45" s="342">
        <v>0</v>
      </c>
      <c r="C45" s="341"/>
      <c r="D45" s="341"/>
      <c r="E45" s="341"/>
      <c r="F45" s="341"/>
      <c r="G45" s="341">
        <v>2</v>
      </c>
      <c r="H45" s="341"/>
      <c r="I45" s="341"/>
      <c r="J45" s="341">
        <v>3.5</v>
      </c>
      <c r="K45" s="341">
        <v>4</v>
      </c>
      <c r="L45" s="341"/>
      <c r="M45" s="341">
        <v>6</v>
      </c>
      <c r="N45" s="341"/>
      <c r="O45" s="341"/>
      <c r="P45" s="341"/>
      <c r="Q45" s="341">
        <v>14</v>
      </c>
      <c r="R45" s="341"/>
      <c r="S45" s="341"/>
      <c r="T45" s="207"/>
      <c r="U45" s="207"/>
      <c r="W45" s="207"/>
      <c r="X45" s="207"/>
      <c r="Y45" s="207"/>
      <c r="Z45" s="207"/>
      <c r="AA45" s="207"/>
      <c r="AB45" s="207"/>
      <c r="AC45" s="207"/>
      <c r="AD45" s="207"/>
      <c r="AE45" s="207"/>
    </row>
    <row r="46" spans="1:199" s="282" customFormat="1" ht="7.5" hidden="1" thickTop="1">
      <c r="A46" s="280" t="s">
        <v>123</v>
      </c>
      <c r="B46" s="281">
        <f>IF(OR(ISTEXT(B43),B43=0),Summary!$E$1-7,B43-MOD(B43-Summary!$E$1,7))</f>
        <v>44287</v>
      </c>
      <c r="C46" s="281">
        <f>IF(OR(ISTEXT(C43),C43=0),Summary!$E$1-7,C43-MOD(C43-Summary!$E$1,7))</f>
        <v>44294</v>
      </c>
      <c r="D46" s="281">
        <f>IF(OR(ISTEXT(D43),D43=0),Summary!$E$1-7,D43-MOD(D43-Summary!$E$1,7))</f>
        <v>44301</v>
      </c>
      <c r="E46" s="281">
        <f>IF(OR(ISTEXT(E43),E43=0),Summary!$E$1-7,E43-MOD(E43-Summary!$E$1,7))</f>
        <v>44308</v>
      </c>
      <c r="F46" s="281">
        <f>IF(OR(ISTEXT(F43),F43=0),Summary!$E$1-7,F43-MOD(F43-Summary!$E$1,7))</f>
        <v>44315</v>
      </c>
      <c r="G46" s="281">
        <f>IF(OR(ISTEXT(G43),G43=0),Summary!$E$1-7,G43-MOD(G43-Summary!$E$1,7))</f>
        <v>44322</v>
      </c>
      <c r="H46" s="281">
        <f>IF(OR(ISTEXT(H43),H43=0),Summary!$E$1-7,H43-MOD(H43-Summary!$E$1,7))</f>
        <v>44329</v>
      </c>
      <c r="I46" s="281">
        <f>IF(OR(ISTEXT(I43),I43=0),Summary!$E$1-7,I43-MOD(I43-Summary!$E$1,7))</f>
        <v>44336</v>
      </c>
      <c r="J46" s="281">
        <f>IF(OR(ISTEXT(J43),J43=0),Summary!$E$1-7,J43-MOD(J43-Summary!$E$1,7))</f>
        <v>44343</v>
      </c>
      <c r="K46" s="281">
        <f>IF(OR(ISTEXT(K43),K43=0),Summary!$E$1-7,K43-MOD(K43-Summary!$E$1,7))</f>
        <v>44350</v>
      </c>
      <c r="L46" s="281">
        <f>IF(OR(ISTEXT(L43),L43=0),Summary!$E$1-7,L43-MOD(L43-Summary!$E$1,7))</f>
        <v>44357</v>
      </c>
      <c r="M46" s="281">
        <f>IF(OR(ISTEXT(M43),M43=0),Summary!$E$1-7,M43-MOD(M43-Summary!$E$1,7))</f>
        <v>44364</v>
      </c>
      <c r="N46" s="281">
        <f>IF(OR(ISTEXT(N43),N43=0),Summary!$E$1-7,N43-MOD(N43-Summary!$E$1,7))</f>
        <v>44371</v>
      </c>
      <c r="O46" s="281">
        <f>IF(OR(ISTEXT(O43),O43=0),Summary!$E$1-7,O43-MOD(O43-Summary!$E$1,7))</f>
        <v>44378</v>
      </c>
      <c r="P46" s="281">
        <f>IF(OR(ISTEXT(P43),P43=0),Summary!$E$1-7,P43-MOD(P43-Summary!$E$1,7))</f>
        <v>44385</v>
      </c>
      <c r="Q46" s="281">
        <f>IF(OR(ISTEXT(Q43),Q43=0),Summary!$E$1-7,Q43-MOD(Q43-Summary!$E$1,7))</f>
        <v>44392</v>
      </c>
      <c r="R46" s="281">
        <f>IF(OR(ISTEXT(R43),R43=0),Summary!$E$1-7,R43-MOD(R43-Summary!$E$1,7))</f>
        <v>44399</v>
      </c>
      <c r="S46" s="281">
        <f>IF(OR(ISTEXT(S43),S43=0),Summary!$E$1-7,S43-MOD(S43-Summary!$E$1,7))</f>
        <v>44406</v>
      </c>
      <c r="T46" s="283"/>
      <c r="W46" s="283"/>
      <c r="X46" s="283"/>
      <c r="Y46" s="283"/>
      <c r="Z46" s="283"/>
      <c r="AA46" s="283"/>
      <c r="AB46" s="283"/>
      <c r="AC46" s="283"/>
      <c r="AD46" s="283"/>
      <c r="AE46" s="283"/>
    </row>
    <row r="47" spans="1:199" s="282" customFormat="1" hidden="1">
      <c r="A47" s="274" t="s">
        <v>135</v>
      </c>
      <c r="B47" s="330" t="b">
        <f t="shared" ref="B47:S47" si="52">OR(ISNUMBER(HLOOKUP(B46,B83:S84,2)),ISNUMBER(HLOOKUP(B46,B124:S125,2)))</f>
        <v>0</v>
      </c>
      <c r="C47" s="332" t="b">
        <f t="shared" si="52"/>
        <v>0</v>
      </c>
      <c r="D47" s="332" t="b">
        <f t="shared" si="52"/>
        <v>0</v>
      </c>
      <c r="E47" s="332" t="b">
        <f t="shared" si="52"/>
        <v>0</v>
      </c>
      <c r="F47" s="332" t="b">
        <f t="shared" si="52"/>
        <v>0</v>
      </c>
      <c r="G47" s="332" t="b">
        <f t="shared" si="52"/>
        <v>0</v>
      </c>
      <c r="H47" s="332" t="b">
        <f t="shared" si="52"/>
        <v>0</v>
      </c>
      <c r="I47" s="332" t="b">
        <f t="shared" si="52"/>
        <v>0</v>
      </c>
      <c r="J47" s="332" t="b">
        <f t="shared" si="52"/>
        <v>0</v>
      </c>
      <c r="K47" s="332" t="b">
        <f t="shared" si="52"/>
        <v>0</v>
      </c>
      <c r="L47" s="332" t="b">
        <f t="shared" si="52"/>
        <v>0</v>
      </c>
      <c r="M47" s="332" t="b">
        <f t="shared" si="52"/>
        <v>0</v>
      </c>
      <c r="N47" s="332" t="b">
        <f t="shared" si="52"/>
        <v>0</v>
      </c>
      <c r="O47" s="332" t="b">
        <f t="shared" si="52"/>
        <v>0</v>
      </c>
      <c r="P47" s="332" t="b">
        <f t="shared" si="52"/>
        <v>0</v>
      </c>
      <c r="Q47" s="332" t="b">
        <f t="shared" si="52"/>
        <v>0</v>
      </c>
      <c r="R47" s="332" t="b">
        <f t="shared" si="52"/>
        <v>0</v>
      </c>
      <c r="S47" s="332" t="b">
        <f t="shared" si="52"/>
        <v>0</v>
      </c>
      <c r="T47" s="283"/>
      <c r="W47" s="283"/>
      <c r="X47" s="283"/>
      <c r="Y47" s="283"/>
      <c r="Z47" s="283"/>
      <c r="AA47" s="283"/>
      <c r="AB47" s="283"/>
      <c r="AC47" s="283"/>
      <c r="AD47" s="283"/>
      <c r="AE47" s="283"/>
    </row>
    <row r="48" spans="1:199" s="282" customFormat="1" hidden="1">
      <c r="A48" s="274" t="s">
        <v>133</v>
      </c>
      <c r="B48" s="330">
        <f>IF(OR(B47,B44=0),0,1)</f>
        <v>0</v>
      </c>
      <c r="C48" s="332">
        <f>IF(OR(C47,C44=0),0,1)</f>
        <v>0</v>
      </c>
      <c r="D48" s="332">
        <f>IF(OR(D47,D44=0),0,1)</f>
        <v>1</v>
      </c>
      <c r="E48" s="332">
        <f>IF(OR(E47,E44=0),0,1)</f>
        <v>0</v>
      </c>
      <c r="F48" s="332">
        <f t="shared" ref="F48:S48" si="53">IF(OR(F47,F44=0),0,1)</f>
        <v>0</v>
      </c>
      <c r="G48" s="332">
        <f t="shared" si="53"/>
        <v>1</v>
      </c>
      <c r="H48" s="332">
        <f t="shared" si="53"/>
        <v>0</v>
      </c>
      <c r="I48" s="332">
        <f t="shared" si="53"/>
        <v>0</v>
      </c>
      <c r="J48" s="332">
        <f t="shared" si="53"/>
        <v>1</v>
      </c>
      <c r="K48" s="332">
        <f t="shared" si="53"/>
        <v>1</v>
      </c>
      <c r="L48" s="332">
        <f t="shared" si="53"/>
        <v>1</v>
      </c>
      <c r="M48" s="332">
        <f t="shared" si="53"/>
        <v>1</v>
      </c>
      <c r="N48" s="332">
        <f t="shared" si="53"/>
        <v>1</v>
      </c>
      <c r="O48" s="332">
        <f t="shared" si="53"/>
        <v>0</v>
      </c>
      <c r="P48" s="332">
        <f t="shared" si="53"/>
        <v>0</v>
      </c>
      <c r="Q48" s="332">
        <f t="shared" si="53"/>
        <v>1</v>
      </c>
      <c r="R48" s="332">
        <f t="shared" si="53"/>
        <v>0</v>
      </c>
      <c r="S48" s="332">
        <f t="shared" si="53"/>
        <v>0</v>
      </c>
      <c r="T48" s="283"/>
      <c r="W48" s="283"/>
      <c r="X48" s="283"/>
      <c r="Y48" s="283"/>
      <c r="Z48" s="283"/>
      <c r="AA48" s="283"/>
      <c r="AB48" s="283"/>
      <c r="AC48" s="283"/>
      <c r="AD48" s="283"/>
      <c r="AE48" s="283"/>
    </row>
    <row r="49" spans="1:31" s="271" customFormat="1" hidden="1">
      <c r="A49" s="274" t="s">
        <v>134</v>
      </c>
      <c r="B49" s="273">
        <f>IF(B44&gt;0,IF(B46=S9,S12,S12+1),S12)</f>
        <v>0</v>
      </c>
      <c r="C49" s="273">
        <f t="shared" ref="C49:S49" si="54">IF(C44&gt;0,IF(C46=B46,B49,B49+1),B49)</f>
        <v>0</v>
      </c>
      <c r="D49" s="273">
        <f t="shared" si="54"/>
        <v>1</v>
      </c>
      <c r="E49" s="273">
        <f t="shared" si="54"/>
        <v>1</v>
      </c>
      <c r="F49" s="273">
        <f t="shared" si="54"/>
        <v>1</v>
      </c>
      <c r="G49" s="273">
        <f t="shared" si="54"/>
        <v>2</v>
      </c>
      <c r="H49" s="273">
        <f t="shared" si="54"/>
        <v>2</v>
      </c>
      <c r="I49" s="273">
        <f t="shared" si="54"/>
        <v>2</v>
      </c>
      <c r="J49" s="273">
        <f t="shared" si="54"/>
        <v>3</v>
      </c>
      <c r="K49" s="273">
        <f t="shared" si="54"/>
        <v>4</v>
      </c>
      <c r="L49" s="273">
        <f t="shared" si="54"/>
        <v>5</v>
      </c>
      <c r="M49" s="273">
        <f t="shared" si="54"/>
        <v>6</v>
      </c>
      <c r="N49" s="273">
        <f t="shared" si="54"/>
        <v>7</v>
      </c>
      <c r="O49" s="273">
        <f t="shared" si="54"/>
        <v>7</v>
      </c>
      <c r="P49" s="273">
        <f t="shared" si="54"/>
        <v>7</v>
      </c>
      <c r="Q49" s="273">
        <f t="shared" si="54"/>
        <v>8</v>
      </c>
      <c r="R49" s="273">
        <f t="shared" si="54"/>
        <v>8</v>
      </c>
      <c r="S49" s="273">
        <f t="shared" si="54"/>
        <v>8</v>
      </c>
      <c r="T49" s="272"/>
      <c r="W49" s="272"/>
      <c r="X49" s="272"/>
      <c r="Y49" s="272"/>
      <c r="Z49" s="272"/>
      <c r="AA49" s="272"/>
      <c r="AB49" s="272"/>
      <c r="AC49" s="272"/>
      <c r="AD49" s="272"/>
      <c r="AE49" s="272"/>
    </row>
    <row r="50" spans="1:31" s="271" customFormat="1" ht="7.5" hidden="1" thickBot="1">
      <c r="A50" s="274" t="s">
        <v>122</v>
      </c>
      <c r="B50" s="273">
        <f>IF(LEN(B42)&gt;9,0,1)</f>
        <v>0</v>
      </c>
      <c r="C50" s="273">
        <f t="shared" ref="C50:S50" si="55">IF(ISERROR(C43-B43),0,IF(OR(C43-B43&lt;7,LEN(C42)&gt;10),0,1))</f>
        <v>0</v>
      </c>
      <c r="D50" s="273">
        <f t="shared" si="55"/>
        <v>1</v>
      </c>
      <c r="E50" s="273">
        <f t="shared" si="55"/>
        <v>0</v>
      </c>
      <c r="F50" s="273">
        <f t="shared" si="55"/>
        <v>0</v>
      </c>
      <c r="G50" s="273">
        <f t="shared" si="55"/>
        <v>1</v>
      </c>
      <c r="H50" s="273">
        <f t="shared" si="55"/>
        <v>0</v>
      </c>
      <c r="I50" s="273">
        <f t="shared" si="55"/>
        <v>0</v>
      </c>
      <c r="J50" s="273">
        <f t="shared" si="55"/>
        <v>1</v>
      </c>
      <c r="K50" s="273">
        <f t="shared" si="55"/>
        <v>1</v>
      </c>
      <c r="L50" s="273">
        <f t="shared" si="55"/>
        <v>1</v>
      </c>
      <c r="M50" s="273">
        <f t="shared" si="55"/>
        <v>1</v>
      </c>
      <c r="N50" s="273">
        <f t="shared" si="55"/>
        <v>1</v>
      </c>
      <c r="O50" s="273">
        <f t="shared" si="55"/>
        <v>0</v>
      </c>
      <c r="P50" s="273">
        <f t="shared" si="55"/>
        <v>1</v>
      </c>
      <c r="Q50" s="273">
        <f t="shared" si="55"/>
        <v>1</v>
      </c>
      <c r="R50" s="273">
        <f t="shared" si="55"/>
        <v>0</v>
      </c>
      <c r="S50" s="273">
        <f t="shared" si="55"/>
        <v>0</v>
      </c>
      <c r="T50" s="272"/>
      <c r="W50" s="272"/>
      <c r="X50" s="272"/>
      <c r="Y50" s="272"/>
      <c r="Z50" s="272"/>
      <c r="AA50" s="272"/>
      <c r="AB50" s="272"/>
      <c r="AC50" s="272"/>
      <c r="AD50" s="272"/>
      <c r="AE50" s="272"/>
    </row>
    <row r="51" spans="1:31" s="69" customFormat="1" ht="11.5" thickTop="1" thickBot="1">
      <c r="A51" s="68" t="s">
        <v>16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70"/>
      <c r="U51" s="70"/>
    </row>
    <row r="52" spans="1:31" s="48" customFormat="1" ht="7.5" thickTop="1">
      <c r="A52" s="52" t="s">
        <v>25</v>
      </c>
      <c r="B52" s="345"/>
      <c r="C52" s="344"/>
      <c r="D52" s="344">
        <v>25</v>
      </c>
      <c r="E52" s="344"/>
      <c r="F52" s="344"/>
      <c r="G52" s="344">
        <v>25</v>
      </c>
      <c r="H52" s="344"/>
      <c r="I52" s="344"/>
      <c r="J52" s="344">
        <v>25</v>
      </c>
      <c r="K52" s="344">
        <v>25</v>
      </c>
      <c r="L52" s="344">
        <v>25</v>
      </c>
      <c r="M52" s="344">
        <v>25</v>
      </c>
      <c r="N52" s="344">
        <v>25</v>
      </c>
      <c r="O52" s="344"/>
      <c r="P52" s="344"/>
      <c r="Q52" s="344">
        <v>25</v>
      </c>
      <c r="R52" s="344"/>
      <c r="S52" s="344"/>
      <c r="T52" s="69"/>
      <c r="U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s="48" customFormat="1">
      <c r="A53" s="55" t="s">
        <v>26</v>
      </c>
      <c r="B53" s="348"/>
      <c r="C53" s="347"/>
      <c r="D53" s="347">
        <v>150</v>
      </c>
      <c r="E53" s="347"/>
      <c r="F53" s="347"/>
      <c r="G53" s="347">
        <v>60</v>
      </c>
      <c r="H53" s="347"/>
      <c r="I53" s="347"/>
      <c r="J53" s="347">
        <v>120</v>
      </c>
      <c r="K53" s="347">
        <v>125</v>
      </c>
      <c r="L53" s="347">
        <v>50</v>
      </c>
      <c r="M53" s="347">
        <v>100</v>
      </c>
      <c r="N53" s="347">
        <v>150</v>
      </c>
      <c r="O53" s="347"/>
      <c r="P53" s="347"/>
      <c r="Q53" s="347">
        <v>175</v>
      </c>
      <c r="R53" s="347"/>
      <c r="S53" s="347"/>
      <c r="T53" s="69"/>
      <c r="U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 s="48" customFormat="1" ht="7.5" thickBot="1">
      <c r="A54" s="112" t="s">
        <v>29</v>
      </c>
      <c r="B54" s="351"/>
      <c r="C54" s="350"/>
      <c r="D54" s="350"/>
      <c r="E54" s="350"/>
      <c r="F54" s="350"/>
      <c r="G54" s="350">
        <v>20</v>
      </c>
      <c r="H54" s="350"/>
      <c r="I54" s="350"/>
      <c r="J54" s="350">
        <v>35</v>
      </c>
      <c r="K54" s="350">
        <v>40</v>
      </c>
      <c r="L54" s="350"/>
      <c r="M54" s="350">
        <v>60</v>
      </c>
      <c r="N54" s="350"/>
      <c r="O54" s="350"/>
      <c r="P54" s="350"/>
      <c r="Q54" s="350">
        <v>140</v>
      </c>
      <c r="R54" s="350"/>
      <c r="S54" s="350"/>
      <c r="T54" s="69"/>
      <c r="U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s="48" customFormat="1" ht="11.5" thickTop="1" thickBot="1">
      <c r="A55" s="115" t="s">
        <v>72</v>
      </c>
      <c r="B55" s="71">
        <f>SUM(B52:B54)</f>
        <v>0</v>
      </c>
      <c r="C55" s="74">
        <f>SUM(C52:C54)</f>
        <v>0</v>
      </c>
      <c r="D55" s="74">
        <f>SUM(D52:D54)</f>
        <v>175</v>
      </c>
      <c r="E55" s="74">
        <f>SUM(E52:E54)</f>
        <v>0</v>
      </c>
      <c r="F55" s="74">
        <f t="shared" ref="F55:S55" si="56">SUM(F52:F54)</f>
        <v>0</v>
      </c>
      <c r="G55" s="74">
        <f t="shared" si="56"/>
        <v>105</v>
      </c>
      <c r="H55" s="74">
        <f t="shared" si="56"/>
        <v>0</v>
      </c>
      <c r="I55" s="74">
        <f t="shared" si="56"/>
        <v>0</v>
      </c>
      <c r="J55" s="74">
        <f t="shared" si="56"/>
        <v>180</v>
      </c>
      <c r="K55" s="74">
        <f t="shared" si="56"/>
        <v>190</v>
      </c>
      <c r="L55" s="74">
        <f t="shared" si="56"/>
        <v>75</v>
      </c>
      <c r="M55" s="74">
        <f t="shared" si="56"/>
        <v>185</v>
      </c>
      <c r="N55" s="74">
        <f t="shared" si="56"/>
        <v>175</v>
      </c>
      <c r="O55" s="74">
        <f t="shared" si="56"/>
        <v>0</v>
      </c>
      <c r="P55" s="74">
        <f t="shared" si="56"/>
        <v>0</v>
      </c>
      <c r="Q55" s="74">
        <f t="shared" si="56"/>
        <v>340</v>
      </c>
      <c r="R55" s="74">
        <f t="shared" si="56"/>
        <v>0</v>
      </c>
      <c r="S55" s="74">
        <f t="shared" si="56"/>
        <v>0</v>
      </c>
      <c r="T55" s="69"/>
      <c r="U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s="48" customFormat="1" ht="11.5" thickTop="1" thickBot="1">
      <c r="A56" s="300" t="s">
        <v>74</v>
      </c>
      <c r="B56" s="301" t="str">
        <f t="shared" ref="B56" ca="1" si="57">IF(OR(LEFT(B42,2)="un",LEFT(B42,1)="(",B55&lt;&gt;0,B69&lt;&gt;0, B42="",B43&gt;NOW()),"","Acct Due")</f>
        <v/>
      </c>
      <c r="C56" s="301" t="str">
        <f t="shared" ref="C56" ca="1" si="58">IF(OR(LEFT(C42,2)="un",LEFT(C42,1)="(",C55&lt;&gt;0,C69&lt;&gt;0, C42="",C43&gt;NOW()),"","Acct Due")</f>
        <v/>
      </c>
      <c r="D56" s="301" t="str">
        <f t="shared" ref="D56" ca="1" si="59">IF(OR(LEFT(D42,2)="un",LEFT(D42,1)="(",D55&lt;&gt;0,D69&lt;&gt;0, D42="",D43&gt;NOW()),"","Acct Due")</f>
        <v/>
      </c>
      <c r="E56" s="301" t="str">
        <f t="shared" ref="E56" ca="1" si="60">IF(OR(LEFT(E42,2)="un",LEFT(E42,1)="(",E55&lt;&gt;0,E69&lt;&gt;0, E42="",E43&gt;NOW()),"","Acct Due")</f>
        <v/>
      </c>
      <c r="F56" s="301" t="str">
        <f t="shared" ref="F56" ca="1" si="61">IF(OR(LEFT(F42,2)="un",LEFT(F42,1)="(",F55&lt;&gt;0,F69&lt;&gt;0, F42="",F43&gt;NOW()),"","Acct Due")</f>
        <v/>
      </c>
      <c r="G56" s="301" t="str">
        <f t="shared" ref="G56" ca="1" si="62">IF(OR(LEFT(G42,2)="un",LEFT(G42,1)="(",G55&lt;&gt;0,G69&lt;&gt;0, G42="",G43&gt;NOW()),"","Acct Due")</f>
        <v/>
      </c>
      <c r="H56" s="301" t="str">
        <f t="shared" ref="H56" ca="1" si="63">IF(OR(LEFT(H42,2)="un",LEFT(H42,1)="(",H55&lt;&gt;0,H69&lt;&gt;0, H42="",H43&gt;NOW()),"","Acct Due")</f>
        <v/>
      </c>
      <c r="I56" s="301" t="str">
        <f t="shared" ref="I56" ca="1" si="64">IF(OR(LEFT(I42,2)="un",LEFT(I42,1)="(",I55&lt;&gt;0,I69&lt;&gt;0, I42="",I43&gt;NOW()),"","Acct Due")</f>
        <v/>
      </c>
      <c r="J56" s="301" t="str">
        <f t="shared" ref="J56" ca="1" si="65">IF(OR(LEFT(J42,2)="un",LEFT(J42,1)="(",J55&lt;&gt;0,J69&lt;&gt;0, J42="",J43&gt;NOW()),"","Acct Due")</f>
        <v/>
      </c>
      <c r="K56" s="301" t="str">
        <f t="shared" ref="K56" ca="1" si="66">IF(OR(LEFT(K42,2)="un",LEFT(K42,1)="(",K55&lt;&gt;0,K69&lt;&gt;0, K42="",K43&gt;NOW()),"","Acct Due")</f>
        <v/>
      </c>
      <c r="L56" s="301" t="str">
        <f t="shared" ref="L56" ca="1" si="67">IF(OR(LEFT(L42,2)="un",LEFT(L42,1)="(",L55&lt;&gt;0,L69&lt;&gt;0, L42="",L43&gt;NOW()),"","Acct Due")</f>
        <v/>
      </c>
      <c r="M56" s="301" t="str">
        <f ca="1">IF(OR(LEFT(M42,2)="un",LEFT(M42,1)="(",M55&lt;&gt;0,M69&lt;&gt;0, M42="",M43&gt;NOW()),"","Acct Due")</f>
        <v/>
      </c>
      <c r="N56" s="301" t="str">
        <f t="shared" ref="N56" ca="1" si="68">IF(OR(LEFT(N42,2)="un",LEFT(N42,1)="(",N55&lt;&gt;0,N69&lt;&gt;0, N42="",N43&gt;NOW()),"","Acct Due")</f>
        <v/>
      </c>
      <c r="O56" s="301" t="str">
        <f t="shared" ref="O56" ca="1" si="69">IF(OR(LEFT(O42,2)="un",LEFT(O42,1)="(",O55&lt;&gt;0,O69&lt;&gt;0, O42="",O43&gt;NOW()),"","Acct Due")</f>
        <v/>
      </c>
      <c r="P56" s="301" t="str">
        <f t="shared" ref="P56" ca="1" si="70">IF(OR(LEFT(P42,2)="un",LEFT(P42,1)="(",P55&lt;&gt;0,P69&lt;&gt;0, P42="",P43&gt;NOW()),"","Acct Due")</f>
        <v/>
      </c>
      <c r="Q56" s="301" t="str">
        <f t="shared" ref="Q56" ca="1" si="71">IF(OR(LEFT(Q42,2)="un",LEFT(Q42,1)="(",Q55&lt;&gt;0,Q69&lt;&gt;0, Q42="",Q43&gt;NOW()),"","Acct Due")</f>
        <v/>
      </c>
      <c r="R56" s="301" t="str">
        <f t="shared" ref="R56" ca="1" si="72">IF(OR(LEFT(R42,2)="un",LEFT(R42,1)="(",R55&lt;&gt;0,R69&lt;&gt;0, R42="",R43&gt;NOW()),"","Acct Due")</f>
        <v/>
      </c>
      <c r="S56" s="301" t="str">
        <f t="shared" ref="S56" ca="1" si="73">IF(OR(LEFT(S42,2)="un",LEFT(S42,1)="(",S55&lt;&gt;0,S69&lt;&gt;0, S42="",S43&gt;NOW()),"","Acct Due")</f>
        <v/>
      </c>
      <c r="T56" s="69"/>
      <c r="V56" s="881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s="48" customFormat="1" ht="7.5" thickTop="1">
      <c r="A57" s="52" t="s">
        <v>39</v>
      </c>
      <c r="B57" s="345"/>
      <c r="C57" s="344"/>
      <c r="D57" s="344">
        <v>48.06</v>
      </c>
      <c r="E57" s="344"/>
      <c r="F57" s="344"/>
      <c r="G57" s="344">
        <v>27.5</v>
      </c>
      <c r="H57" s="867"/>
      <c r="I57" s="344"/>
      <c r="J57" s="344">
        <v>39</v>
      </c>
      <c r="K57" s="344"/>
      <c r="L57" s="344"/>
      <c r="M57" s="344"/>
      <c r="N57" s="344">
        <v>40</v>
      </c>
      <c r="O57" s="344"/>
      <c r="P57" s="344"/>
      <c r="Q57" s="344">
        <v>48.57</v>
      </c>
      <c r="R57" s="344"/>
      <c r="S57" s="344"/>
      <c r="T57" s="69"/>
      <c r="U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s="48" customFormat="1">
      <c r="A58" s="55" t="s">
        <v>40</v>
      </c>
      <c r="B58" s="348"/>
      <c r="C58" s="347"/>
      <c r="D58" s="347"/>
      <c r="E58" s="347"/>
      <c r="F58" s="347"/>
      <c r="G58" s="347">
        <v>96.91</v>
      </c>
      <c r="H58" s="867"/>
      <c r="I58" s="347"/>
      <c r="J58" s="347"/>
      <c r="K58" s="347"/>
      <c r="L58" s="347"/>
      <c r="M58" s="347">
        <v>166.78</v>
      </c>
      <c r="N58" s="347"/>
      <c r="O58" s="347"/>
      <c r="P58" s="347"/>
      <c r="Q58" s="347"/>
      <c r="R58" s="347"/>
      <c r="S58" s="347"/>
      <c r="T58" s="69"/>
      <c r="U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s="48" customFormat="1">
      <c r="A59" s="55" t="s">
        <v>41</v>
      </c>
      <c r="B59" s="348"/>
      <c r="C59" s="347"/>
      <c r="D59" s="347"/>
      <c r="E59" s="347"/>
      <c r="F59" s="347"/>
      <c r="G59" s="347">
        <v>37.799999999999997</v>
      </c>
      <c r="H59" s="86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69"/>
      <c r="U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 s="48" customFormat="1">
      <c r="A60" s="57" t="s">
        <v>43</v>
      </c>
      <c r="B60" s="103">
        <f>+'OTHER COSTS'!T82</f>
        <v>0</v>
      </c>
      <c r="C60" s="103">
        <f>+'OTHER COSTS'!U82</f>
        <v>0</v>
      </c>
      <c r="D60" s="103">
        <f>+'OTHER COSTS'!V82</f>
        <v>0</v>
      </c>
      <c r="E60" s="103">
        <f>+'OTHER COSTS'!W82</f>
        <v>0</v>
      </c>
      <c r="F60" s="103">
        <f>+'OTHER COSTS'!X82</f>
        <v>0</v>
      </c>
      <c r="G60" s="103">
        <f>+'OTHER COSTS'!Y82</f>
        <v>0</v>
      </c>
      <c r="H60" s="103">
        <f>+'OTHER COSTS'!Z82</f>
        <v>0</v>
      </c>
      <c r="I60" s="103">
        <f>+'OTHER COSTS'!AA82</f>
        <v>0</v>
      </c>
      <c r="J60" s="103">
        <f>+'OTHER COSTS'!AB82</f>
        <v>0</v>
      </c>
      <c r="K60" s="103">
        <f>+'OTHER COSTS'!AC82</f>
        <v>0</v>
      </c>
      <c r="L60" s="103">
        <f>+'OTHER COSTS'!AD82</f>
        <v>0</v>
      </c>
      <c r="M60" s="103">
        <f>+'OTHER COSTS'!AE82</f>
        <v>0</v>
      </c>
      <c r="N60" s="103">
        <f>+'OTHER COSTS'!AF82</f>
        <v>0</v>
      </c>
      <c r="O60" s="103">
        <f>+'OTHER COSTS'!AG82</f>
        <v>0</v>
      </c>
      <c r="P60" s="103">
        <f>+'OTHER COSTS'!AH82</f>
        <v>0</v>
      </c>
      <c r="Q60" s="103">
        <f>+'OTHER COSTS'!AI82</f>
        <v>0</v>
      </c>
      <c r="R60" s="103">
        <f>+'OTHER COSTS'!AJ82</f>
        <v>0</v>
      </c>
      <c r="S60" s="103">
        <f>+'OTHER COSTS'!AK82</f>
        <v>0</v>
      </c>
      <c r="T60" s="69"/>
      <c r="U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s="48" customFormat="1">
      <c r="A61" s="92" t="s">
        <v>44</v>
      </c>
      <c r="B61" s="72">
        <f>SUM(B57:B60)</f>
        <v>0</v>
      </c>
      <c r="C61" s="47">
        <f>SUM(C57:C60)</f>
        <v>0</v>
      </c>
      <c r="D61" s="47">
        <f>SUM(D57:D60)</f>
        <v>48.06</v>
      </c>
      <c r="E61" s="47">
        <f>SUM(E57:E60)</f>
        <v>0</v>
      </c>
      <c r="F61" s="47">
        <f t="shared" ref="F61:S61" si="74">SUM(F57:F60)</f>
        <v>0</v>
      </c>
      <c r="G61" s="47">
        <f>SUM(G57:G60)</f>
        <v>162.20999999999998</v>
      </c>
      <c r="H61" s="47">
        <f t="shared" si="74"/>
        <v>0</v>
      </c>
      <c r="I61" s="47">
        <f t="shared" si="74"/>
        <v>0</v>
      </c>
      <c r="J61" s="47">
        <f t="shared" si="74"/>
        <v>39</v>
      </c>
      <c r="K61" s="47">
        <f t="shared" si="74"/>
        <v>0</v>
      </c>
      <c r="L61" s="47">
        <f t="shared" si="74"/>
        <v>0</v>
      </c>
      <c r="M61" s="47">
        <f t="shared" si="74"/>
        <v>166.78</v>
      </c>
      <c r="N61" s="47">
        <f t="shared" si="74"/>
        <v>40</v>
      </c>
      <c r="O61" s="47">
        <f t="shared" si="74"/>
        <v>0</v>
      </c>
      <c r="P61" s="47">
        <f t="shared" si="74"/>
        <v>0</v>
      </c>
      <c r="Q61" s="47">
        <f t="shared" si="74"/>
        <v>48.57</v>
      </c>
      <c r="R61" s="47">
        <f t="shared" si="74"/>
        <v>0</v>
      </c>
      <c r="S61" s="47">
        <f t="shared" si="74"/>
        <v>0</v>
      </c>
      <c r="T61" s="69"/>
      <c r="U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s="48" customFormat="1" ht="7.5" thickBot="1">
      <c r="A62" s="93" t="s">
        <v>88</v>
      </c>
      <c r="B62" s="360"/>
      <c r="C62" s="354"/>
      <c r="D62" s="354"/>
      <c r="E62" s="354"/>
      <c r="F62" s="354"/>
      <c r="G62" s="354">
        <v>30</v>
      </c>
      <c r="H62" s="354"/>
      <c r="I62" s="354"/>
      <c r="J62" s="354"/>
      <c r="K62" s="354">
        <v>36</v>
      </c>
      <c r="L62" s="354"/>
      <c r="M62" s="354">
        <v>36</v>
      </c>
      <c r="N62" s="354">
        <v>36</v>
      </c>
      <c r="O62" s="354"/>
      <c r="P62" s="354"/>
      <c r="Q62" s="354"/>
      <c r="R62" s="354"/>
      <c r="S62" s="354"/>
      <c r="T62" s="69"/>
      <c r="U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s="48" customFormat="1" ht="11.5" thickTop="1" thickBot="1">
      <c r="A63" s="94" t="s">
        <v>75</v>
      </c>
      <c r="B63" s="114"/>
      <c r="C63" s="8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538" t="s">
        <v>171</v>
      </c>
      <c r="R63" s="114"/>
      <c r="S63" s="114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s="48" customFormat="1" ht="7.5" thickTop="1">
      <c r="A64" s="52" t="s">
        <v>49</v>
      </c>
      <c r="B64" s="73">
        <f>MAINTENANCE!U55</f>
        <v>0</v>
      </c>
      <c r="C64" s="73">
        <f>MAINTENANCE!V55</f>
        <v>0</v>
      </c>
      <c r="D64" s="73">
        <f>MAINTENANCE!W55</f>
        <v>0</v>
      </c>
      <c r="E64" s="73">
        <f>MAINTENANCE!X55</f>
        <v>0</v>
      </c>
      <c r="F64" s="73">
        <f>MAINTENANCE!Y55</f>
        <v>0</v>
      </c>
      <c r="G64" s="73">
        <f>MAINTENANCE!Z55</f>
        <v>37.15</v>
      </c>
      <c r="H64" s="73">
        <f>MAINTENANCE!AA55</f>
        <v>0</v>
      </c>
      <c r="I64" s="73">
        <f>MAINTENANCE!AB55</f>
        <v>0</v>
      </c>
      <c r="J64" s="73">
        <f>MAINTENANCE!AC55</f>
        <v>0</v>
      </c>
      <c r="K64" s="73">
        <f>MAINTENANCE!AD55</f>
        <v>0</v>
      </c>
      <c r="L64" s="73">
        <f>MAINTENANCE!AE55</f>
        <v>0</v>
      </c>
      <c r="M64" s="73">
        <f>MAINTENANCE!AF55</f>
        <v>0</v>
      </c>
      <c r="N64" s="73">
        <f>MAINTENANCE!AG55</f>
        <v>3</v>
      </c>
      <c r="O64" s="73">
        <f>MAINTENANCE!AH55</f>
        <v>0</v>
      </c>
      <c r="P64" s="73">
        <f>MAINTENANCE!AI55</f>
        <v>0</v>
      </c>
      <c r="Q64" s="73">
        <f>MAINTENANCE!AJ55</f>
        <v>0</v>
      </c>
      <c r="R64" s="73">
        <f>MAINTENANCE!AK55</f>
        <v>0</v>
      </c>
      <c r="S64" s="73">
        <f>MAINTENANCE!AL55</f>
        <v>0</v>
      </c>
      <c r="T64" s="69"/>
      <c r="U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 s="48" customFormat="1">
      <c r="A65" s="55" t="s">
        <v>125</v>
      </c>
      <c r="B65" s="71">
        <f>'OTHER COSTS'!T41+'OTHER COSTS'!T48</f>
        <v>0</v>
      </c>
      <c r="C65" s="71">
        <f>'OTHER COSTS'!U41+'OTHER COSTS'!U48</f>
        <v>0</v>
      </c>
      <c r="D65" s="71">
        <f>'OTHER COSTS'!V41+'OTHER COSTS'!V48</f>
        <v>0</v>
      </c>
      <c r="E65" s="71">
        <f>'OTHER COSTS'!W41+'OTHER COSTS'!W48</f>
        <v>0</v>
      </c>
      <c r="F65" s="71">
        <f>'OTHER COSTS'!X41+'OTHER COSTS'!X48</f>
        <v>0</v>
      </c>
      <c r="G65" s="71">
        <f>'OTHER COSTS'!Y41+'OTHER COSTS'!Y48</f>
        <v>0</v>
      </c>
      <c r="H65" s="71">
        <f>'OTHER COSTS'!Z41+'OTHER COSTS'!Z48</f>
        <v>0</v>
      </c>
      <c r="I65" s="71">
        <f>'OTHER COSTS'!AA41+'OTHER COSTS'!AA48</f>
        <v>0</v>
      </c>
      <c r="J65" s="71">
        <f>'OTHER COSTS'!AB41+'OTHER COSTS'!AB48</f>
        <v>0</v>
      </c>
      <c r="K65" s="71">
        <f>'OTHER COSTS'!AC41+'OTHER COSTS'!AC48</f>
        <v>0</v>
      </c>
      <c r="L65" s="71">
        <f>'OTHER COSTS'!AD41+'OTHER COSTS'!AD48</f>
        <v>0</v>
      </c>
      <c r="M65" s="71">
        <f>'OTHER COSTS'!AE41+'OTHER COSTS'!AE48</f>
        <v>0</v>
      </c>
      <c r="N65" s="71">
        <f>'OTHER COSTS'!AF41+'OTHER COSTS'!AF48</f>
        <v>0</v>
      </c>
      <c r="O65" s="71">
        <f>'OTHER COSTS'!AG41+'OTHER COSTS'!AG48</f>
        <v>0</v>
      </c>
      <c r="P65" s="71">
        <f>'OTHER COSTS'!AH41+'OTHER COSTS'!AH48</f>
        <v>0</v>
      </c>
      <c r="Q65" s="71">
        <f>'OTHER COSTS'!AI41+'OTHER COSTS'!AI48</f>
        <v>0</v>
      </c>
      <c r="R65" s="71">
        <f>'OTHER COSTS'!AJ41+'OTHER COSTS'!AJ48</f>
        <v>0</v>
      </c>
      <c r="S65" s="71">
        <f>'OTHER COSTS'!AK41+'OTHER COSTS'!AK48</f>
        <v>0</v>
      </c>
      <c r="T65" s="69"/>
      <c r="U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 s="48" customFormat="1">
      <c r="A66" s="878" t="s">
        <v>225</v>
      </c>
      <c r="B66" s="71">
        <f>'OTHER COSTS'!T59</f>
        <v>0</v>
      </c>
      <c r="C66" s="71">
        <f>'OTHER COSTS'!U59</f>
        <v>0</v>
      </c>
      <c r="D66" s="71">
        <f>'OTHER COSTS'!V59</f>
        <v>0</v>
      </c>
      <c r="E66" s="71">
        <f>'OTHER COSTS'!W59</f>
        <v>0</v>
      </c>
      <c r="F66" s="71">
        <f>'OTHER COSTS'!X59</f>
        <v>0</v>
      </c>
      <c r="G66" s="71">
        <f>'OTHER COSTS'!Y59</f>
        <v>0</v>
      </c>
      <c r="H66" s="71">
        <f>'OTHER COSTS'!Z59</f>
        <v>0</v>
      </c>
      <c r="I66" s="71">
        <f>'OTHER COSTS'!AA59</f>
        <v>0</v>
      </c>
      <c r="J66" s="71">
        <f>'OTHER COSTS'!AB59</f>
        <v>0</v>
      </c>
      <c r="K66" s="71">
        <f>'OTHER COSTS'!AC59</f>
        <v>0</v>
      </c>
      <c r="L66" s="71">
        <f>'OTHER COSTS'!AD59</f>
        <v>0</v>
      </c>
      <c r="M66" s="71">
        <f>'OTHER COSTS'!AE59</f>
        <v>0</v>
      </c>
      <c r="N66" s="71">
        <f>'OTHER COSTS'!AF59</f>
        <v>0</v>
      </c>
      <c r="O66" s="71">
        <f>'OTHER COSTS'!AG59</f>
        <v>0</v>
      </c>
      <c r="P66" s="71">
        <f>'OTHER COSTS'!AH59</f>
        <v>0</v>
      </c>
      <c r="Q66" s="71">
        <f>'OTHER COSTS'!AI59</f>
        <v>0</v>
      </c>
      <c r="R66" s="71">
        <f>'OTHER COSTS'!AJ59</f>
        <v>0</v>
      </c>
      <c r="S66" s="71">
        <f>'OTHER COSTS'!AK59</f>
        <v>0</v>
      </c>
      <c r="T66" s="69"/>
      <c r="U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 s="48" customFormat="1" ht="9" customHeight="1">
      <c r="A67" s="57" t="s">
        <v>51</v>
      </c>
      <c r="B67" s="356"/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5"/>
      <c r="T67" s="69"/>
      <c r="U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 s="48" customFormat="1" ht="7.5" thickBot="1">
      <c r="A68" s="92" t="s">
        <v>76</v>
      </c>
      <c r="B68" s="72">
        <f>SUM(B64:B67)</f>
        <v>0</v>
      </c>
      <c r="C68" s="47">
        <f>SUM(C64:C67)</f>
        <v>0</v>
      </c>
      <c r="D68" s="47">
        <f>SUM(D64:D67)</f>
        <v>0</v>
      </c>
      <c r="E68" s="47">
        <f>SUM(E64:E67)</f>
        <v>0</v>
      </c>
      <c r="F68" s="47">
        <f t="shared" ref="F68:S68" si="75">SUM(F64:F67)</f>
        <v>0</v>
      </c>
      <c r="G68" s="47">
        <f t="shared" si="75"/>
        <v>37.15</v>
      </c>
      <c r="H68" s="47">
        <f t="shared" si="75"/>
        <v>0</v>
      </c>
      <c r="I68" s="47">
        <f t="shared" si="75"/>
        <v>0</v>
      </c>
      <c r="J68" s="47">
        <f t="shared" si="75"/>
        <v>0</v>
      </c>
      <c r="K68" s="47">
        <f t="shared" si="75"/>
        <v>0</v>
      </c>
      <c r="L68" s="47">
        <f t="shared" si="75"/>
        <v>0</v>
      </c>
      <c r="M68" s="47">
        <f t="shared" si="75"/>
        <v>0</v>
      </c>
      <c r="N68" s="47">
        <f t="shared" si="75"/>
        <v>3</v>
      </c>
      <c r="O68" s="47">
        <f t="shared" si="75"/>
        <v>0</v>
      </c>
      <c r="P68" s="47">
        <f t="shared" si="75"/>
        <v>0</v>
      </c>
      <c r="Q68" s="47">
        <f t="shared" si="75"/>
        <v>0</v>
      </c>
      <c r="R68" s="809" t="s">
        <v>171</v>
      </c>
      <c r="S68" s="47">
        <f t="shared" si="75"/>
        <v>0</v>
      </c>
      <c r="T68" s="69"/>
      <c r="U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 s="48" customFormat="1" ht="11.5" thickTop="1" thickBot="1">
      <c r="A69" s="299" t="s">
        <v>55</v>
      </c>
      <c r="B69" s="73">
        <f>SUM(B62:B67)+B61</f>
        <v>0</v>
      </c>
      <c r="C69" s="85">
        <f>SUM(C62:C67)+C61</f>
        <v>0</v>
      </c>
      <c r="D69" s="85">
        <f>SUM(D62:D67)+D61</f>
        <v>48.06</v>
      </c>
      <c r="E69" s="85">
        <f>SUM(E62:E67)+E61</f>
        <v>0</v>
      </c>
      <c r="F69" s="85">
        <f t="shared" ref="F69:S69" si="76">SUM(F62:F67)+F61</f>
        <v>0</v>
      </c>
      <c r="G69" s="85">
        <f t="shared" si="76"/>
        <v>229.35999999999999</v>
      </c>
      <c r="H69" s="85">
        <f t="shared" si="76"/>
        <v>0</v>
      </c>
      <c r="I69" s="85">
        <f t="shared" si="76"/>
        <v>0</v>
      </c>
      <c r="J69" s="85">
        <f t="shared" si="76"/>
        <v>39</v>
      </c>
      <c r="K69" s="85">
        <f t="shared" si="76"/>
        <v>36</v>
      </c>
      <c r="L69" s="85">
        <f t="shared" si="76"/>
        <v>0</v>
      </c>
      <c r="M69" s="85">
        <f t="shared" si="76"/>
        <v>202.78</v>
      </c>
      <c r="N69" s="85">
        <f t="shared" si="76"/>
        <v>79</v>
      </c>
      <c r="O69" s="85">
        <f t="shared" si="76"/>
        <v>0</v>
      </c>
      <c r="P69" s="85">
        <f t="shared" si="76"/>
        <v>0</v>
      </c>
      <c r="Q69" s="85">
        <f t="shared" si="76"/>
        <v>48.57</v>
      </c>
      <c r="R69" s="85">
        <f t="shared" si="76"/>
        <v>0</v>
      </c>
      <c r="S69" s="85">
        <f t="shared" si="76"/>
        <v>0</v>
      </c>
      <c r="T69" s="69"/>
      <c r="U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 s="48" customFormat="1" ht="8" thickTop="1" thickBot="1">
      <c r="A70" s="303" t="s">
        <v>131</v>
      </c>
      <c r="B70" s="304">
        <f>B55-B69</f>
        <v>0</v>
      </c>
      <c r="C70" s="304">
        <f>C55-C69</f>
        <v>0</v>
      </c>
      <c r="D70" s="304">
        <f>D55-D69</f>
        <v>126.94</v>
      </c>
      <c r="E70" s="304">
        <f>E55-E69</f>
        <v>0</v>
      </c>
      <c r="F70" s="304">
        <f t="shared" ref="F70:S70" si="77">F55-F69</f>
        <v>0</v>
      </c>
      <c r="G70" s="304">
        <f t="shared" si="77"/>
        <v>-124.35999999999999</v>
      </c>
      <c r="H70" s="304">
        <f t="shared" si="77"/>
        <v>0</v>
      </c>
      <c r="I70" s="304">
        <f t="shared" si="77"/>
        <v>0</v>
      </c>
      <c r="J70" s="304">
        <f t="shared" si="77"/>
        <v>141</v>
      </c>
      <c r="K70" s="304">
        <f t="shared" si="77"/>
        <v>154</v>
      </c>
      <c r="L70" s="304">
        <f t="shared" si="77"/>
        <v>75</v>
      </c>
      <c r="M70" s="304">
        <f t="shared" si="77"/>
        <v>-17.78</v>
      </c>
      <c r="N70" s="304">
        <f t="shared" si="77"/>
        <v>96</v>
      </c>
      <c r="O70" s="304">
        <f t="shared" si="77"/>
        <v>0</v>
      </c>
      <c r="P70" s="304">
        <f t="shared" si="77"/>
        <v>0</v>
      </c>
      <c r="Q70" s="304">
        <f t="shared" si="77"/>
        <v>291.43</v>
      </c>
      <c r="R70" s="304">
        <f t="shared" si="77"/>
        <v>0</v>
      </c>
      <c r="S70" s="304">
        <f t="shared" si="77"/>
        <v>0</v>
      </c>
      <c r="T70" s="69"/>
      <c r="U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 s="225" customFormat="1" ht="8" thickTop="1" thickBot="1">
      <c r="A71" s="96" t="s">
        <v>130</v>
      </c>
      <c r="B71" s="358"/>
      <c r="C71" s="358"/>
      <c r="D71" s="358" t="s">
        <v>235</v>
      </c>
      <c r="E71" s="358"/>
      <c r="F71" s="358"/>
      <c r="G71" s="358" t="s">
        <v>235</v>
      </c>
      <c r="H71" s="358"/>
      <c r="I71" s="358"/>
      <c r="J71" s="358" t="s">
        <v>235</v>
      </c>
      <c r="K71" s="358" t="s">
        <v>235</v>
      </c>
      <c r="L71" s="358" t="s">
        <v>235</v>
      </c>
      <c r="M71" s="358" t="s">
        <v>235</v>
      </c>
      <c r="N71" s="358" t="s">
        <v>235</v>
      </c>
      <c r="O71" s="358"/>
      <c r="P71" s="358"/>
      <c r="Q71" s="358" t="s">
        <v>235</v>
      </c>
      <c r="R71" s="358" t="s">
        <v>235</v>
      </c>
      <c r="S71" s="358"/>
      <c r="T71" s="207"/>
      <c r="U71" s="207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 s="271" customFormat="1" ht="7.5" hidden="1" thickTop="1">
      <c r="A72" s="265" t="s">
        <v>116</v>
      </c>
      <c r="B72" s="268">
        <f>IF(B71="post bal.",B70,0)</f>
        <v>0</v>
      </c>
      <c r="C72" s="268">
        <f t="shared" ref="C72:J72" si="78">IF(C71="post bal.",C70,0)</f>
        <v>0</v>
      </c>
      <c r="D72" s="268">
        <f t="shared" si="78"/>
        <v>0</v>
      </c>
      <c r="E72" s="268">
        <f t="shared" si="78"/>
        <v>0</v>
      </c>
      <c r="F72" s="268">
        <f t="shared" si="78"/>
        <v>0</v>
      </c>
      <c r="G72" s="268">
        <f t="shared" si="78"/>
        <v>0</v>
      </c>
      <c r="H72" s="268">
        <f t="shared" si="78"/>
        <v>0</v>
      </c>
      <c r="I72" s="268">
        <f t="shared" si="78"/>
        <v>0</v>
      </c>
      <c r="J72" s="268">
        <f t="shared" si="78"/>
        <v>0</v>
      </c>
      <c r="K72" s="268">
        <f t="shared" ref="K72:S72" si="79">IF(K71="post bal.",K70,0)</f>
        <v>0</v>
      </c>
      <c r="L72" s="268">
        <f t="shared" si="79"/>
        <v>0</v>
      </c>
      <c r="M72" s="268">
        <f t="shared" si="79"/>
        <v>0</v>
      </c>
      <c r="N72" s="268">
        <f t="shared" si="79"/>
        <v>0</v>
      </c>
      <c r="O72" s="268">
        <f t="shared" si="79"/>
        <v>0</v>
      </c>
      <c r="P72" s="268">
        <f t="shared" si="79"/>
        <v>0</v>
      </c>
      <c r="Q72" s="268">
        <f t="shared" si="79"/>
        <v>0</v>
      </c>
      <c r="R72" s="268">
        <f t="shared" si="79"/>
        <v>0</v>
      </c>
      <c r="S72" s="268">
        <f t="shared" si="79"/>
        <v>0</v>
      </c>
      <c r="T72" s="268">
        <f>IF(T71="post bal.",T69,0)</f>
        <v>0</v>
      </c>
      <c r="U72" s="268">
        <f>IF(U71="post bal.",U69,0)</f>
        <v>0</v>
      </c>
      <c r="W72" s="272"/>
      <c r="X72" s="272"/>
      <c r="Y72" s="272"/>
      <c r="Z72" s="272"/>
      <c r="AA72" s="272"/>
      <c r="AB72" s="272"/>
      <c r="AC72" s="272"/>
      <c r="AD72" s="272"/>
      <c r="AE72" s="272"/>
    </row>
    <row r="73" spans="1:31" s="266" customFormat="1" hidden="1">
      <c r="A73" s="270" t="s">
        <v>117</v>
      </c>
      <c r="B73" s="266">
        <f t="shared" ref="B73:J73" si="80">IF(B42="Insurance",B67,0)</f>
        <v>0</v>
      </c>
      <c r="C73" s="266">
        <f t="shared" si="80"/>
        <v>0</v>
      </c>
      <c r="D73" s="266">
        <f t="shared" si="80"/>
        <v>0</v>
      </c>
      <c r="E73" s="266">
        <f t="shared" si="80"/>
        <v>0</v>
      </c>
      <c r="F73" s="266">
        <f t="shared" si="80"/>
        <v>0</v>
      </c>
      <c r="G73" s="266">
        <f t="shared" si="80"/>
        <v>0</v>
      </c>
      <c r="H73" s="266">
        <f>IF(H42="Insurance",H67,0)</f>
        <v>0</v>
      </c>
      <c r="I73" s="266">
        <f t="shared" si="80"/>
        <v>0</v>
      </c>
      <c r="J73" s="266">
        <f t="shared" si="80"/>
        <v>0</v>
      </c>
      <c r="K73" s="266">
        <f t="shared" ref="K73:S73" si="81">IF(K42="Insurance",K67,0)</f>
        <v>0</v>
      </c>
      <c r="L73" s="266">
        <f t="shared" si="81"/>
        <v>0</v>
      </c>
      <c r="M73" s="266">
        <f t="shared" si="81"/>
        <v>0</v>
      </c>
      <c r="N73" s="266">
        <f t="shared" si="81"/>
        <v>0</v>
      </c>
      <c r="O73" s="266">
        <f t="shared" si="81"/>
        <v>0</v>
      </c>
      <c r="P73" s="266">
        <f t="shared" si="81"/>
        <v>0</v>
      </c>
      <c r="Q73" s="266">
        <f t="shared" si="81"/>
        <v>0</v>
      </c>
      <c r="R73" s="266">
        <f t="shared" si="81"/>
        <v>0</v>
      </c>
      <c r="S73" s="266">
        <f t="shared" si="81"/>
        <v>0</v>
      </c>
      <c r="W73" s="267"/>
      <c r="X73" s="267"/>
      <c r="Y73" s="267"/>
      <c r="Z73" s="267"/>
      <c r="AA73" s="267"/>
      <c r="AB73" s="267"/>
      <c r="AC73" s="267"/>
      <c r="AD73" s="267"/>
      <c r="AE73" s="267"/>
    </row>
    <row r="74" spans="1:31" s="266" customFormat="1" hidden="1">
      <c r="A74" s="270" t="s">
        <v>118</v>
      </c>
      <c r="B74" s="266">
        <f t="shared" ref="B74:J74" si="82">IF(B42="Mooring",B68,0)</f>
        <v>0</v>
      </c>
      <c r="C74" s="266">
        <f t="shared" si="82"/>
        <v>0</v>
      </c>
      <c r="D74" s="266">
        <f t="shared" si="82"/>
        <v>0</v>
      </c>
      <c r="E74" s="266">
        <f t="shared" si="82"/>
        <v>0</v>
      </c>
      <c r="F74" s="266">
        <f t="shared" si="82"/>
        <v>0</v>
      </c>
      <c r="G74" s="266">
        <f t="shared" si="82"/>
        <v>0</v>
      </c>
      <c r="H74" s="266">
        <f>IF(H42="Mooring",H68,0)</f>
        <v>0</v>
      </c>
      <c r="I74" s="266">
        <f t="shared" si="82"/>
        <v>0</v>
      </c>
      <c r="J74" s="266">
        <f t="shared" si="82"/>
        <v>0</v>
      </c>
      <c r="K74" s="266">
        <f t="shared" ref="K74:S74" si="83">IF(K42="Mooring",K68,0)</f>
        <v>0</v>
      </c>
      <c r="L74" s="266">
        <f t="shared" si="83"/>
        <v>0</v>
      </c>
      <c r="M74" s="266">
        <f t="shared" si="83"/>
        <v>0</v>
      </c>
      <c r="N74" s="266">
        <f t="shared" si="83"/>
        <v>0</v>
      </c>
      <c r="O74" s="266">
        <f t="shared" si="83"/>
        <v>0</v>
      </c>
      <c r="P74" s="266">
        <f t="shared" si="83"/>
        <v>0</v>
      </c>
      <c r="Q74" s="266">
        <f t="shared" si="83"/>
        <v>0</v>
      </c>
      <c r="R74" s="266">
        <f t="shared" si="83"/>
        <v>0</v>
      </c>
      <c r="S74" s="266">
        <f t="shared" si="83"/>
        <v>0</v>
      </c>
      <c r="W74" s="267"/>
      <c r="X74" s="267"/>
      <c r="Y74" s="267"/>
      <c r="Z74" s="267"/>
      <c r="AA74" s="267"/>
      <c r="AB74" s="267"/>
      <c r="AC74" s="267"/>
      <c r="AD74" s="267"/>
      <c r="AE74" s="267"/>
    </row>
    <row r="75" spans="1:31" s="266" customFormat="1" hidden="1">
      <c r="A75" s="270" t="s">
        <v>119</v>
      </c>
      <c r="B75" s="266">
        <f t="shared" ref="B75:J75" si="84">IF(B42="Licence",B69,0)</f>
        <v>0</v>
      </c>
      <c r="C75" s="266">
        <f t="shared" si="84"/>
        <v>0</v>
      </c>
      <c r="D75" s="266">
        <f t="shared" si="84"/>
        <v>0</v>
      </c>
      <c r="E75" s="266">
        <f t="shared" si="84"/>
        <v>0</v>
      </c>
      <c r="F75" s="266">
        <f t="shared" si="84"/>
        <v>0</v>
      </c>
      <c r="G75" s="266">
        <f t="shared" si="84"/>
        <v>0</v>
      </c>
      <c r="H75" s="266">
        <f>IF(H42="Licence",H69,0)</f>
        <v>0</v>
      </c>
      <c r="I75" s="266">
        <f t="shared" si="84"/>
        <v>0</v>
      </c>
      <c r="J75" s="266">
        <f t="shared" si="84"/>
        <v>0</v>
      </c>
      <c r="K75" s="266">
        <f t="shared" ref="K75:S75" si="85">IF(K42="Licence",K69,0)</f>
        <v>0</v>
      </c>
      <c r="L75" s="266">
        <f t="shared" si="85"/>
        <v>0</v>
      </c>
      <c r="M75" s="266">
        <f t="shared" si="85"/>
        <v>0</v>
      </c>
      <c r="N75" s="266">
        <f t="shared" si="85"/>
        <v>0</v>
      </c>
      <c r="O75" s="266">
        <f t="shared" si="85"/>
        <v>0</v>
      </c>
      <c r="P75" s="266">
        <f t="shared" si="85"/>
        <v>0</v>
      </c>
      <c r="Q75" s="266">
        <f t="shared" si="85"/>
        <v>0</v>
      </c>
      <c r="R75" s="266">
        <f t="shared" si="85"/>
        <v>0</v>
      </c>
      <c r="S75" s="266">
        <f t="shared" si="85"/>
        <v>0</v>
      </c>
      <c r="W75" s="267"/>
      <c r="X75" s="267"/>
      <c r="Y75" s="267"/>
      <c r="Z75" s="267"/>
      <c r="AA75" s="267"/>
      <c r="AB75" s="267"/>
      <c r="AC75" s="267"/>
      <c r="AD75" s="267"/>
      <c r="AE75" s="267"/>
    </row>
    <row r="76" spans="1:31" s="279" customFormat="1" ht="7.5" hidden="1" thickBot="1">
      <c r="A76" s="278" t="s">
        <v>120</v>
      </c>
      <c r="B76" s="279">
        <f t="shared" ref="B76:K76" si="86">B67-SUM(B73:B75)</f>
        <v>0</v>
      </c>
      <c r="C76" s="279">
        <f t="shared" si="86"/>
        <v>0</v>
      </c>
      <c r="D76" s="279">
        <f t="shared" si="86"/>
        <v>0</v>
      </c>
      <c r="E76" s="279">
        <f t="shared" si="86"/>
        <v>0</v>
      </c>
      <c r="F76" s="279">
        <f t="shared" si="86"/>
        <v>0</v>
      </c>
      <c r="G76" s="279">
        <f t="shared" si="86"/>
        <v>0</v>
      </c>
      <c r="H76" s="279">
        <f t="shared" si="86"/>
        <v>0</v>
      </c>
      <c r="I76" s="279">
        <f t="shared" si="86"/>
        <v>0</v>
      </c>
      <c r="J76" s="279">
        <f t="shared" si="86"/>
        <v>0</v>
      </c>
      <c r="K76" s="279">
        <f t="shared" si="86"/>
        <v>0</v>
      </c>
      <c r="L76" s="279">
        <f t="shared" ref="L76:S76" si="87">L67-SUM(L73:L75)</f>
        <v>0</v>
      </c>
      <c r="M76" s="279">
        <f t="shared" si="87"/>
        <v>0</v>
      </c>
      <c r="N76" s="279">
        <f t="shared" si="87"/>
        <v>0</v>
      </c>
      <c r="O76" s="279">
        <f t="shared" si="87"/>
        <v>0</v>
      </c>
      <c r="P76" s="279">
        <f t="shared" si="87"/>
        <v>0</v>
      </c>
      <c r="Q76" s="279">
        <f t="shared" si="87"/>
        <v>0</v>
      </c>
      <c r="R76" s="279">
        <f t="shared" si="87"/>
        <v>0</v>
      </c>
      <c r="S76" s="279">
        <f t="shared" si="87"/>
        <v>0</v>
      </c>
    </row>
    <row r="77" spans="1:31" s="48" customFormat="1" ht="8" thickTop="1" thickBot="1">
      <c r="K77" s="540"/>
      <c r="W77" s="69"/>
      <c r="X77" s="69"/>
      <c r="Y77" s="69"/>
      <c r="Z77" s="69"/>
      <c r="AA77" s="69"/>
      <c r="AB77" s="69"/>
      <c r="AC77" s="69"/>
      <c r="AD77" s="69"/>
      <c r="AE77" s="69"/>
    </row>
    <row r="78" spans="1:31" s="48" customFormat="1" ht="11.5" thickTop="1" thickBot="1">
      <c r="A78" s="11" t="s">
        <v>146</v>
      </c>
      <c r="W78" s="69"/>
      <c r="X78" s="69"/>
      <c r="Y78" s="69"/>
      <c r="Z78" s="69"/>
      <c r="AA78" s="69"/>
      <c r="AB78" s="69"/>
      <c r="AC78" s="69"/>
      <c r="AD78" s="69"/>
      <c r="AE78" s="69"/>
    </row>
    <row r="79" spans="1:31" s="48" customFormat="1" ht="7.5" thickTop="1">
      <c r="A79" s="87" t="s">
        <v>70</v>
      </c>
      <c r="B79" s="536" t="s">
        <v>259</v>
      </c>
      <c r="C79" s="536" t="s">
        <v>253</v>
      </c>
      <c r="D79" s="536" t="s">
        <v>245</v>
      </c>
      <c r="E79" s="536" t="s">
        <v>160</v>
      </c>
      <c r="F79" s="536" t="s">
        <v>160</v>
      </c>
      <c r="G79" s="536" t="s">
        <v>160</v>
      </c>
      <c r="H79" s="536" t="s">
        <v>160</v>
      </c>
      <c r="I79" s="536" t="s">
        <v>244</v>
      </c>
      <c r="J79" s="536" t="s">
        <v>160</v>
      </c>
      <c r="K79" s="536" t="s">
        <v>160</v>
      </c>
      <c r="L79" s="536" t="s">
        <v>244</v>
      </c>
      <c r="M79" s="536" t="s">
        <v>270</v>
      </c>
      <c r="N79" s="536" t="s">
        <v>252</v>
      </c>
      <c r="O79" s="536" t="s">
        <v>160</v>
      </c>
      <c r="P79" s="536" t="s">
        <v>160</v>
      </c>
      <c r="Q79" s="536" t="s">
        <v>160</v>
      </c>
      <c r="R79" s="536" t="s">
        <v>160</v>
      </c>
      <c r="S79" s="536" t="s">
        <v>209</v>
      </c>
      <c r="T79" s="69"/>
      <c r="W79" s="69"/>
      <c r="X79" s="69"/>
      <c r="Y79" s="69"/>
      <c r="Z79" s="69"/>
      <c r="AA79" s="69"/>
      <c r="AB79" s="69"/>
      <c r="AC79" s="69"/>
      <c r="AD79" s="69"/>
      <c r="AE79" s="69"/>
    </row>
    <row r="80" spans="1:31" s="48" customFormat="1">
      <c r="A80" s="7" t="s">
        <v>71</v>
      </c>
      <c r="B80" s="242">
        <f>S43+7</f>
        <v>44413</v>
      </c>
      <c r="C80" s="88">
        <f t="shared" ref="C80:R80" si="88">B80+7</f>
        <v>44420</v>
      </c>
      <c r="D80" s="88">
        <f t="shared" si="88"/>
        <v>44427</v>
      </c>
      <c r="E80" s="88">
        <f t="shared" si="88"/>
        <v>44434</v>
      </c>
      <c r="F80" s="88">
        <f t="shared" si="88"/>
        <v>44441</v>
      </c>
      <c r="G80" s="88">
        <f t="shared" si="88"/>
        <v>44448</v>
      </c>
      <c r="H80" s="88">
        <f t="shared" si="88"/>
        <v>44455</v>
      </c>
      <c r="I80" s="88">
        <f t="shared" si="88"/>
        <v>44462</v>
      </c>
      <c r="J80" s="88">
        <f t="shared" si="88"/>
        <v>44469</v>
      </c>
      <c r="K80" s="88">
        <f t="shared" si="88"/>
        <v>44476</v>
      </c>
      <c r="L80" s="88">
        <f t="shared" si="88"/>
        <v>44483</v>
      </c>
      <c r="M80" s="88">
        <f t="shared" si="88"/>
        <v>44490</v>
      </c>
      <c r="N80" s="88">
        <f t="shared" si="88"/>
        <v>44497</v>
      </c>
      <c r="O80" s="88">
        <f t="shared" si="88"/>
        <v>44504</v>
      </c>
      <c r="P80" s="88">
        <f t="shared" si="88"/>
        <v>44511</v>
      </c>
      <c r="Q80" s="88">
        <f t="shared" si="88"/>
        <v>44518</v>
      </c>
      <c r="R80" s="89">
        <f t="shared" si="88"/>
        <v>44525</v>
      </c>
      <c r="S80" s="89">
        <v>44553</v>
      </c>
      <c r="T80" s="69"/>
      <c r="W80" s="69"/>
      <c r="X80" s="69"/>
      <c r="Y80" s="69"/>
      <c r="Z80" s="69"/>
      <c r="AA80" s="69"/>
      <c r="AB80" s="69"/>
      <c r="AC80" s="69"/>
      <c r="AD80" s="69"/>
      <c r="AE80" s="69"/>
    </row>
    <row r="81" spans="1:31" s="48" customFormat="1">
      <c r="A81" s="104" t="s">
        <v>14</v>
      </c>
      <c r="B81" s="338">
        <v>2</v>
      </c>
      <c r="C81" s="338">
        <v>5</v>
      </c>
      <c r="D81" s="338">
        <v>6</v>
      </c>
      <c r="E81" s="338"/>
      <c r="F81" s="338"/>
      <c r="G81" s="338"/>
      <c r="H81" s="338"/>
      <c r="I81" s="338">
        <v>3</v>
      </c>
      <c r="J81" s="338"/>
      <c r="K81" s="338"/>
      <c r="L81" s="338">
        <v>4</v>
      </c>
      <c r="M81" s="338"/>
      <c r="N81" s="338">
        <v>3</v>
      </c>
      <c r="O81" s="338"/>
      <c r="P81" s="338"/>
      <c r="Q81" s="338"/>
      <c r="R81" s="340"/>
      <c r="S81" s="338">
        <v>6</v>
      </c>
      <c r="T81" s="69"/>
      <c r="W81" s="69"/>
      <c r="X81" s="69"/>
      <c r="Y81" s="69"/>
      <c r="Z81" s="69"/>
      <c r="AA81" s="69"/>
      <c r="AB81" s="69"/>
      <c r="AC81" s="69"/>
      <c r="AD81" s="69"/>
      <c r="AE81" s="69"/>
    </row>
    <row r="82" spans="1:31" s="48" customFormat="1" ht="7.5" thickBot="1">
      <c r="A82" s="108" t="s">
        <v>15</v>
      </c>
      <c r="B82" s="338"/>
      <c r="C82" s="341">
        <v>17</v>
      </c>
      <c r="D82" s="341">
        <v>6</v>
      </c>
      <c r="E82" s="341">
        <v>0</v>
      </c>
      <c r="F82" s="341"/>
      <c r="G82" s="341"/>
      <c r="H82" s="341"/>
      <c r="I82" s="341">
        <v>12</v>
      </c>
      <c r="J82" s="341"/>
      <c r="K82" s="341"/>
      <c r="L82" s="341">
        <v>16</v>
      </c>
      <c r="M82" s="341"/>
      <c r="N82" s="341">
        <v>3</v>
      </c>
      <c r="O82" s="341"/>
      <c r="P82" s="341"/>
      <c r="Q82" s="341"/>
      <c r="R82" s="343"/>
      <c r="S82" s="341">
        <v>7</v>
      </c>
      <c r="T82" s="69"/>
      <c r="W82" s="69"/>
      <c r="X82" s="69"/>
      <c r="Y82" s="69"/>
      <c r="Z82" s="69"/>
      <c r="AA82" s="69"/>
      <c r="AB82" s="69"/>
      <c r="AC82" s="69"/>
      <c r="AD82" s="69"/>
      <c r="AE82" s="69"/>
    </row>
    <row r="83" spans="1:31" s="282" customFormat="1" ht="7.5" hidden="1" thickTop="1">
      <c r="A83" s="280" t="s">
        <v>123</v>
      </c>
      <c r="B83" s="306">
        <f>IF(OR(ISTEXT(B80),B80=0),Summary!$E$1-7,B80-MOD(B80-Summary!$E$1,7))</f>
        <v>44413</v>
      </c>
      <c r="C83" s="281">
        <f>IF(OR(ISTEXT(C80),C80=0),Summary!$E$1-7,C80-MOD(C80-Summary!$E$1,7))</f>
        <v>44420</v>
      </c>
      <c r="D83" s="281">
        <f>IF(OR(ISTEXT(D80),D80=0),Summary!$E$1-7,D80-MOD(D80-Summary!$E$1,7))</f>
        <v>44427</v>
      </c>
      <c r="E83" s="281">
        <f>IF(OR(ISTEXT(E80),E80=0),Summary!$E$1-7,E80-MOD(E80-Summary!$E$1,7))</f>
        <v>44434</v>
      </c>
      <c r="F83" s="281">
        <f>IF(OR(ISTEXT(F80),F80=0),Summary!$E$1-7,F80-MOD(F80-Summary!$E$1,7))</f>
        <v>44441</v>
      </c>
      <c r="G83" s="281">
        <f>IF(OR(ISTEXT(G80),G80=0),Summary!$E$1-7,G80-MOD(G80-Summary!$E$1,7))</f>
        <v>44448</v>
      </c>
      <c r="H83" s="281">
        <f>IF(OR(ISTEXT(H80),H80=0),Summary!$E$1-7,H80-MOD(H80-Summary!$E$1,7))</f>
        <v>44455</v>
      </c>
      <c r="I83" s="281">
        <f>IF(OR(ISTEXT(I80),I80=0),Summary!$E$1-7,I80-MOD(I80-Summary!$E$1,7))</f>
        <v>44462</v>
      </c>
      <c r="J83" s="281">
        <f>IF(OR(ISTEXT(J80),J80=0),Summary!$E$1-7,J80-MOD(J80-Summary!$E$1,7))</f>
        <v>44469</v>
      </c>
      <c r="K83" s="281">
        <f>IF(OR(ISTEXT(K80),K80=0),Summary!$E$1-7,K80-MOD(K80-Summary!$E$1,7))</f>
        <v>44476</v>
      </c>
      <c r="L83" s="281">
        <f>IF(OR(ISTEXT(L80),L80=0),Summary!$E$1-7,L80-MOD(L80-Summary!$E$1,7))</f>
        <v>44483</v>
      </c>
      <c r="M83" s="281">
        <f>IF(OR(ISTEXT(M80),M80=0),Summary!$E$1-7,M80-MOD(M80-Summary!$E$1,7))</f>
        <v>44490</v>
      </c>
      <c r="N83" s="281">
        <f>IF(OR(ISTEXT(N80),N80=0),Summary!$E$1-7,N80-MOD(N80-Summary!$E$1,7))</f>
        <v>44497</v>
      </c>
      <c r="O83" s="281">
        <f>IF(OR(ISTEXT(O80),O80=0),Summary!$E$1-7,O80-MOD(O80-Summary!$E$1,7))</f>
        <v>44504</v>
      </c>
      <c r="P83" s="281">
        <f>IF(OR(ISTEXT(P80),P80=0),Summary!$E$1-7,P80-MOD(P80-Summary!$E$1,7))</f>
        <v>44511</v>
      </c>
      <c r="Q83" s="281">
        <f>IF(OR(ISTEXT(Q80),Q80=0),Summary!$E$1-7,Q80-MOD(Q80-Summary!$E$1,7))</f>
        <v>44518</v>
      </c>
      <c r="R83" s="306">
        <f>IF(OR(ISTEXT(R80),R80=0),Summary!$E$1-7,R80-MOD(R80-Summary!$E$1,7))</f>
        <v>44525</v>
      </c>
      <c r="S83" s="281">
        <f>IF(OR(ISTEXT(S80),S80=0),Summary!$E$1-7,S80-MOD(S80-Summary!$E$1,7))</f>
        <v>44553</v>
      </c>
      <c r="T83" s="283"/>
      <c r="W83" s="283"/>
      <c r="X83" s="283"/>
      <c r="Y83" s="283"/>
      <c r="Z83" s="283"/>
      <c r="AA83" s="283"/>
      <c r="AB83" s="283"/>
      <c r="AC83" s="283"/>
      <c r="AD83" s="283"/>
      <c r="AE83" s="283"/>
    </row>
    <row r="84" spans="1:31" s="282" customFormat="1" hidden="1">
      <c r="A84" s="274" t="s">
        <v>135</v>
      </c>
      <c r="B84" s="330" t="b">
        <f t="shared" ref="B84:S84" si="89">OR(ISNUMBER(HLOOKUP(B83,B120:S121,2)),ISNUMBER(HLOOKUP(B83,B161:S162,2)))</f>
        <v>0</v>
      </c>
      <c r="C84" s="332" t="b">
        <f t="shared" si="89"/>
        <v>0</v>
      </c>
      <c r="D84" s="332" t="b">
        <f t="shared" si="89"/>
        <v>0</v>
      </c>
      <c r="E84" s="332" t="b">
        <f t="shared" si="89"/>
        <v>0</v>
      </c>
      <c r="F84" s="332" t="b">
        <f t="shared" si="89"/>
        <v>0</v>
      </c>
      <c r="G84" s="332" t="b">
        <f t="shared" si="89"/>
        <v>0</v>
      </c>
      <c r="H84" s="332" t="b">
        <f t="shared" si="89"/>
        <v>0</v>
      </c>
      <c r="I84" s="332" t="b">
        <f t="shared" si="89"/>
        <v>0</v>
      </c>
      <c r="J84" s="332" t="b">
        <f t="shared" si="89"/>
        <v>0</v>
      </c>
      <c r="K84" s="332" t="b">
        <f t="shared" si="89"/>
        <v>0</v>
      </c>
      <c r="L84" s="332" t="b">
        <f t="shared" si="89"/>
        <v>0</v>
      </c>
      <c r="M84" s="332" t="b">
        <f t="shared" si="89"/>
        <v>0</v>
      </c>
      <c r="N84" s="332" t="b">
        <f t="shared" si="89"/>
        <v>0</v>
      </c>
      <c r="O84" s="332" t="b">
        <f t="shared" si="89"/>
        <v>0</v>
      </c>
      <c r="P84" s="332" t="b">
        <f t="shared" si="89"/>
        <v>0</v>
      </c>
      <c r="Q84" s="332" t="b">
        <f t="shared" si="89"/>
        <v>0</v>
      </c>
      <c r="R84" s="627" t="b">
        <f t="shared" si="89"/>
        <v>0</v>
      </c>
      <c r="S84" s="332" t="b">
        <f t="shared" si="89"/>
        <v>0</v>
      </c>
      <c r="T84" s="283"/>
      <c r="W84" s="283"/>
      <c r="X84" s="283"/>
      <c r="Y84" s="283"/>
      <c r="Z84" s="283"/>
      <c r="AA84" s="283"/>
      <c r="AB84" s="283"/>
      <c r="AC84" s="283"/>
      <c r="AD84" s="283"/>
      <c r="AE84" s="283"/>
    </row>
    <row r="85" spans="1:31" s="282" customFormat="1" hidden="1">
      <c r="A85" s="274" t="s">
        <v>133</v>
      </c>
      <c r="B85" s="330">
        <f>IF(OR(B84,B81=0),0,1)</f>
        <v>1</v>
      </c>
      <c r="C85" s="332">
        <f>IF(OR(C84,C81=0),0,1)</f>
        <v>1</v>
      </c>
      <c r="D85" s="332">
        <f>IF(OR(D84,D81=0),0,1)</f>
        <v>1</v>
      </c>
      <c r="E85" s="332">
        <f>IF(OR(E84,E81=0),0,1)</f>
        <v>0</v>
      </c>
      <c r="F85" s="332">
        <f>IF(OR(F84,F81=0),0,1)</f>
        <v>0</v>
      </c>
      <c r="G85" s="332">
        <f t="shared" ref="G85:S85" si="90">IF(OR(G84,G81=0),0,1)</f>
        <v>0</v>
      </c>
      <c r="H85" s="332">
        <f t="shared" si="90"/>
        <v>0</v>
      </c>
      <c r="I85" s="332">
        <f t="shared" si="90"/>
        <v>1</v>
      </c>
      <c r="J85" s="332">
        <f t="shared" si="90"/>
        <v>0</v>
      </c>
      <c r="K85" s="332">
        <f t="shared" si="90"/>
        <v>0</v>
      </c>
      <c r="L85" s="332">
        <f t="shared" si="90"/>
        <v>1</v>
      </c>
      <c r="M85" s="332">
        <f t="shared" si="90"/>
        <v>0</v>
      </c>
      <c r="N85" s="332">
        <f t="shared" si="90"/>
        <v>1</v>
      </c>
      <c r="O85" s="332">
        <f t="shared" si="90"/>
        <v>0</v>
      </c>
      <c r="P85" s="332">
        <f t="shared" si="90"/>
        <v>0</v>
      </c>
      <c r="Q85" s="332">
        <f t="shared" si="90"/>
        <v>0</v>
      </c>
      <c r="R85" s="627">
        <f t="shared" si="90"/>
        <v>0</v>
      </c>
      <c r="S85" s="332">
        <f t="shared" si="90"/>
        <v>1</v>
      </c>
      <c r="T85" s="283"/>
      <c r="W85" s="283"/>
      <c r="X85" s="283"/>
      <c r="Y85" s="283"/>
      <c r="Z85" s="283"/>
      <c r="AA85" s="283"/>
      <c r="AB85" s="283"/>
      <c r="AC85" s="283"/>
      <c r="AD85" s="283"/>
      <c r="AE85" s="283"/>
    </row>
    <row r="86" spans="1:31" s="271" customFormat="1" hidden="1">
      <c r="A86" s="274" t="s">
        <v>134</v>
      </c>
      <c r="B86" s="273">
        <f>IF(B81&gt;0,IF(B83=S46,S49,S49+1),S49)</f>
        <v>9</v>
      </c>
      <c r="C86" s="273">
        <f t="shared" ref="C86:S86" si="91">IF(C81&gt;0,IF(C83=B83,B86,B86+1),B86)</f>
        <v>10</v>
      </c>
      <c r="D86" s="273">
        <f t="shared" si="91"/>
        <v>11</v>
      </c>
      <c r="E86" s="273">
        <f t="shared" si="91"/>
        <v>11</v>
      </c>
      <c r="F86" s="273">
        <f t="shared" si="91"/>
        <v>11</v>
      </c>
      <c r="G86" s="273">
        <f t="shared" si="91"/>
        <v>11</v>
      </c>
      <c r="H86" s="273">
        <f t="shared" si="91"/>
        <v>11</v>
      </c>
      <c r="I86" s="273">
        <f t="shared" si="91"/>
        <v>12</v>
      </c>
      <c r="J86" s="273">
        <f t="shared" si="91"/>
        <v>12</v>
      </c>
      <c r="K86" s="273">
        <f t="shared" si="91"/>
        <v>12</v>
      </c>
      <c r="L86" s="273">
        <f t="shared" si="91"/>
        <v>13</v>
      </c>
      <c r="M86" s="273">
        <f t="shared" si="91"/>
        <v>13</v>
      </c>
      <c r="N86" s="273">
        <f t="shared" si="91"/>
        <v>14</v>
      </c>
      <c r="O86" s="273">
        <f t="shared" si="91"/>
        <v>14</v>
      </c>
      <c r="P86" s="273">
        <f t="shared" si="91"/>
        <v>14</v>
      </c>
      <c r="Q86" s="273">
        <f t="shared" si="91"/>
        <v>14</v>
      </c>
      <c r="R86" s="273">
        <f t="shared" si="91"/>
        <v>14</v>
      </c>
      <c r="S86" s="332">
        <f t="shared" si="91"/>
        <v>15</v>
      </c>
      <c r="T86" s="272"/>
      <c r="W86" s="272"/>
      <c r="X86" s="272"/>
      <c r="Y86" s="272"/>
      <c r="Z86" s="272"/>
      <c r="AA86" s="272"/>
      <c r="AB86" s="272"/>
      <c r="AC86" s="272"/>
      <c r="AD86" s="272"/>
      <c r="AE86" s="272"/>
    </row>
    <row r="87" spans="1:31" s="271" customFormat="1" ht="7.5" hidden="1" thickBot="1">
      <c r="A87" s="274" t="s">
        <v>122</v>
      </c>
      <c r="B87" s="273">
        <f>IF(ISERROR(B80-S46),0,IF(OR(B80-S46&lt;7,LEN(B79)&gt;10),0,1))</f>
        <v>1</v>
      </c>
      <c r="C87" s="273">
        <f t="shared" ref="C87:S87" si="92">IF(ISERROR(C80-B80),0,IF(OR(C80-B80&lt;7,LEN(C79)&gt;10),0,1))</f>
        <v>1</v>
      </c>
      <c r="D87" s="273">
        <f t="shared" si="92"/>
        <v>1</v>
      </c>
      <c r="E87" s="273">
        <f t="shared" si="92"/>
        <v>0</v>
      </c>
      <c r="F87" s="273">
        <f t="shared" si="92"/>
        <v>0</v>
      </c>
      <c r="G87" s="273">
        <f t="shared" si="92"/>
        <v>0</v>
      </c>
      <c r="H87" s="273">
        <f t="shared" si="92"/>
        <v>0</v>
      </c>
      <c r="I87" s="273">
        <f t="shared" si="92"/>
        <v>1</v>
      </c>
      <c r="J87" s="273">
        <f t="shared" si="92"/>
        <v>0</v>
      </c>
      <c r="K87" s="273">
        <f t="shared" si="92"/>
        <v>0</v>
      </c>
      <c r="L87" s="273">
        <f t="shared" si="92"/>
        <v>1</v>
      </c>
      <c r="M87" s="273">
        <f t="shared" si="92"/>
        <v>1</v>
      </c>
      <c r="N87" s="273">
        <f t="shared" si="92"/>
        <v>1</v>
      </c>
      <c r="O87" s="273">
        <f t="shared" si="92"/>
        <v>0</v>
      </c>
      <c r="P87" s="273">
        <f t="shared" si="92"/>
        <v>0</v>
      </c>
      <c r="Q87" s="273">
        <f t="shared" si="92"/>
        <v>0</v>
      </c>
      <c r="R87" s="273">
        <f t="shared" si="92"/>
        <v>0</v>
      </c>
      <c r="S87" s="332">
        <f t="shared" si="92"/>
        <v>1</v>
      </c>
      <c r="T87" s="272"/>
      <c r="W87" s="272"/>
      <c r="X87" s="272"/>
      <c r="Y87" s="272"/>
      <c r="Z87" s="272"/>
      <c r="AA87" s="272"/>
      <c r="AB87" s="272"/>
      <c r="AC87" s="272"/>
      <c r="AD87" s="272"/>
      <c r="AE87" s="272"/>
    </row>
    <row r="88" spans="1:31" s="48" customFormat="1" ht="11.5" thickTop="1" thickBot="1">
      <c r="A88" s="68" t="s">
        <v>16</v>
      </c>
      <c r="B88" s="631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20"/>
      <c r="T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 s="48" customFormat="1" ht="7.5" thickTop="1">
      <c r="A89" s="52" t="s">
        <v>25</v>
      </c>
      <c r="B89" s="346">
        <v>25</v>
      </c>
      <c r="C89" s="346">
        <v>25</v>
      </c>
      <c r="D89" s="346">
        <v>25</v>
      </c>
      <c r="E89" s="346"/>
      <c r="F89" s="346"/>
      <c r="G89" s="346"/>
      <c r="H89" s="346"/>
      <c r="I89" s="346">
        <v>25</v>
      </c>
      <c r="J89" s="346"/>
      <c r="K89" s="346"/>
      <c r="L89" s="346">
        <v>25</v>
      </c>
      <c r="M89" s="346"/>
      <c r="N89" s="346">
        <v>25</v>
      </c>
      <c r="O89" s="346"/>
      <c r="P89" s="346"/>
      <c r="Q89" s="346"/>
      <c r="R89" s="346"/>
      <c r="S89" s="344">
        <v>25</v>
      </c>
      <c r="T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 s="48" customFormat="1">
      <c r="A90" s="55" t="s">
        <v>26</v>
      </c>
      <c r="B90" s="349">
        <v>50</v>
      </c>
      <c r="C90" s="349">
        <v>125</v>
      </c>
      <c r="D90" s="349">
        <v>150</v>
      </c>
      <c r="E90" s="349"/>
      <c r="F90" s="349"/>
      <c r="G90" s="349"/>
      <c r="H90" s="349"/>
      <c r="I90" s="349">
        <v>75</v>
      </c>
      <c r="J90" s="349"/>
      <c r="K90" s="349"/>
      <c r="L90" s="349">
        <v>120</v>
      </c>
      <c r="M90" s="349"/>
      <c r="N90" s="349">
        <v>90</v>
      </c>
      <c r="O90" s="349"/>
      <c r="P90" s="349"/>
      <c r="Q90" s="349"/>
      <c r="R90" s="349"/>
      <c r="S90" s="347">
        <v>180</v>
      </c>
      <c r="T90" s="69"/>
      <c r="W90" s="69"/>
      <c r="X90" s="69"/>
      <c r="Y90" s="69"/>
      <c r="Z90" s="69"/>
      <c r="AA90" s="69"/>
      <c r="AB90" s="69"/>
      <c r="AC90" s="69"/>
      <c r="AD90" s="69"/>
      <c r="AE90" s="69"/>
    </row>
    <row r="91" spans="1:31" s="48" customFormat="1" ht="7.5" thickBot="1">
      <c r="A91" s="112" t="s">
        <v>29</v>
      </c>
      <c r="B91" s="352"/>
      <c r="C91" s="352">
        <v>170</v>
      </c>
      <c r="D91" s="352">
        <v>60</v>
      </c>
      <c r="E91" s="352"/>
      <c r="F91" s="352"/>
      <c r="G91" s="352"/>
      <c r="H91" s="352"/>
      <c r="I91" s="352">
        <v>120</v>
      </c>
      <c r="J91" s="352"/>
      <c r="K91" s="352"/>
      <c r="L91" s="352">
        <v>160</v>
      </c>
      <c r="M91" s="352"/>
      <c r="N91" s="352">
        <v>30</v>
      </c>
      <c r="O91" s="352"/>
      <c r="P91" s="352"/>
      <c r="Q91" s="352"/>
      <c r="R91" s="352"/>
      <c r="S91" s="350">
        <v>70</v>
      </c>
      <c r="T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1:31" s="48" customFormat="1" ht="11.5" thickTop="1" thickBot="1">
      <c r="A92" s="115" t="s">
        <v>72</v>
      </c>
      <c r="B92" s="56">
        <f>SUM(B89:B91)</f>
        <v>75</v>
      </c>
      <c r="C92" s="56">
        <f>SUM(C89:C91)</f>
        <v>320</v>
      </c>
      <c r="D92" s="56">
        <f>SUM(D89:D91)</f>
        <v>235</v>
      </c>
      <c r="E92" s="56">
        <f>SUM(E89:E91)</f>
        <v>0</v>
      </c>
      <c r="F92" s="56">
        <f>SUM(F89:F91)</f>
        <v>0</v>
      </c>
      <c r="G92" s="56">
        <f t="shared" ref="G92:S92" si="93">SUM(G89:G91)</f>
        <v>0</v>
      </c>
      <c r="H92" s="56">
        <f t="shared" si="93"/>
        <v>0</v>
      </c>
      <c r="I92" s="56">
        <f t="shared" si="93"/>
        <v>220</v>
      </c>
      <c r="J92" s="56">
        <f t="shared" si="93"/>
        <v>0</v>
      </c>
      <c r="K92" s="56">
        <f t="shared" si="93"/>
        <v>0</v>
      </c>
      <c r="L92" s="56">
        <f t="shared" si="93"/>
        <v>305</v>
      </c>
      <c r="M92" s="56">
        <f t="shared" si="93"/>
        <v>0</v>
      </c>
      <c r="N92" s="56">
        <f t="shared" si="93"/>
        <v>145</v>
      </c>
      <c r="O92" s="56">
        <f t="shared" si="93"/>
        <v>0</v>
      </c>
      <c r="P92" s="56">
        <f t="shared" si="93"/>
        <v>0</v>
      </c>
      <c r="Q92" s="56">
        <f t="shared" si="93"/>
        <v>0</v>
      </c>
      <c r="R92" s="56">
        <f t="shared" si="93"/>
        <v>0</v>
      </c>
      <c r="S92" s="74">
        <f t="shared" si="93"/>
        <v>275</v>
      </c>
      <c r="T92" s="69"/>
      <c r="W92" s="69"/>
      <c r="X92" s="69"/>
      <c r="Y92" s="69"/>
      <c r="Z92" s="69"/>
      <c r="AA92" s="69"/>
      <c r="AB92" s="69"/>
      <c r="AC92" s="69"/>
      <c r="AD92" s="69"/>
      <c r="AE92" s="69"/>
    </row>
    <row r="93" spans="1:31" s="48" customFormat="1" ht="11.5" thickTop="1" thickBot="1">
      <c r="A93" s="11" t="s">
        <v>74</v>
      </c>
      <c r="B93" s="301" t="str">
        <f t="shared" ref="B93:L93" ca="1" si="94">IF(OR(LEFT(B79,2)="un",LEFT(B79,1)="(",B92&lt;&gt;0,B106&lt;&gt;0, B79="",B80&gt;NOW()),"","Acct Due")</f>
        <v/>
      </c>
      <c r="C93" s="301" t="str">
        <f t="shared" ca="1" si="94"/>
        <v/>
      </c>
      <c r="D93" s="301" t="str">
        <f t="shared" ca="1" si="94"/>
        <v/>
      </c>
      <c r="E93" s="301" t="str">
        <f t="shared" ca="1" si="94"/>
        <v/>
      </c>
      <c r="F93" s="301" t="str">
        <f t="shared" ca="1" si="94"/>
        <v/>
      </c>
      <c r="G93" s="301" t="str">
        <f t="shared" ca="1" si="94"/>
        <v/>
      </c>
      <c r="H93" s="301" t="str">
        <f t="shared" ca="1" si="94"/>
        <v/>
      </c>
      <c r="I93" s="301" t="str">
        <f t="shared" ca="1" si="94"/>
        <v/>
      </c>
      <c r="J93" s="301" t="str">
        <f t="shared" ca="1" si="94"/>
        <v/>
      </c>
      <c r="K93" s="301" t="str">
        <f t="shared" ca="1" si="94"/>
        <v/>
      </c>
      <c r="L93" s="301" t="str">
        <f t="shared" ca="1" si="94"/>
        <v/>
      </c>
      <c r="M93" s="301" t="str">
        <f ca="1">IF(OR(LEFT(M79,2)="un",LEFT(M79,1)="(",M92&lt;&gt;0,M106&lt;&gt;0, M79="",M80&gt;NOW()),"","Acct Due")</f>
        <v/>
      </c>
      <c r="N93" s="301" t="str">
        <f t="shared" ref="N93:S93" ca="1" si="95">IF(OR(LEFT(N79,2)="un",LEFT(N79,1)="(",N92&lt;&gt;0,N106&lt;&gt;0, N79="",N80&gt;NOW()),"","Acct Due")</f>
        <v/>
      </c>
      <c r="O93" s="301" t="str">
        <f t="shared" ca="1" si="95"/>
        <v/>
      </c>
      <c r="P93" s="301" t="str">
        <f t="shared" ca="1" si="95"/>
        <v/>
      </c>
      <c r="Q93" s="301" t="str">
        <f t="shared" ca="1" si="95"/>
        <v/>
      </c>
      <c r="R93" s="301" t="str">
        <f t="shared" ca="1" si="95"/>
        <v/>
      </c>
      <c r="S93" s="301" t="str">
        <f t="shared" ca="1" si="95"/>
        <v/>
      </c>
      <c r="T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1:31" s="48" customFormat="1" ht="7.5" thickTop="1">
      <c r="A94" s="52" t="s">
        <v>39</v>
      </c>
      <c r="B94" s="346"/>
      <c r="C94" s="346">
        <v>35</v>
      </c>
      <c r="D94" s="346"/>
      <c r="E94" s="346"/>
      <c r="F94" s="346"/>
      <c r="G94" s="346"/>
      <c r="H94" s="346"/>
      <c r="I94" s="346"/>
      <c r="J94" s="346"/>
      <c r="K94" s="346"/>
      <c r="L94" s="346">
        <v>47.5</v>
      </c>
      <c r="M94" s="346"/>
      <c r="N94" s="346"/>
      <c r="O94" s="346"/>
      <c r="P94" s="346"/>
      <c r="Q94" s="346"/>
      <c r="R94" s="346"/>
      <c r="S94" s="344">
        <v>47.59</v>
      </c>
      <c r="T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s="48" customFormat="1">
      <c r="A95" s="55" t="s">
        <v>40</v>
      </c>
      <c r="B95" s="349"/>
      <c r="C95" s="349">
        <v>72.150000000000006</v>
      </c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7"/>
      <c r="T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s="48" customFormat="1">
      <c r="A96" s="55" t="s">
        <v>41</v>
      </c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7"/>
      <c r="T96" s="69"/>
      <c r="W96" s="69"/>
      <c r="X96" s="69"/>
      <c r="Y96" s="69"/>
      <c r="Z96" s="69"/>
      <c r="AA96" s="69"/>
      <c r="AB96" s="69"/>
      <c r="AC96" s="69"/>
      <c r="AD96" s="69"/>
      <c r="AE96" s="69"/>
    </row>
    <row r="97" spans="1:31" s="48" customFormat="1">
      <c r="A97" s="57" t="s">
        <v>43</v>
      </c>
      <c r="B97" s="101"/>
      <c r="C97" s="103">
        <f>+'OTHER COSTS'!AM82</f>
        <v>0</v>
      </c>
      <c r="D97" s="103">
        <f>+'OTHER COSTS'!AN82</f>
        <v>2.89</v>
      </c>
      <c r="E97" s="103">
        <f>+'OTHER COSTS'!AO82</f>
        <v>0</v>
      </c>
      <c r="F97" s="101">
        <f>+'OTHER COSTS'!AP82</f>
        <v>0</v>
      </c>
      <c r="G97" s="101">
        <f>+'OTHER COSTS'!AQ82</f>
        <v>0</v>
      </c>
      <c r="H97" s="101">
        <f>+'OTHER COSTS'!AR82</f>
        <v>0</v>
      </c>
      <c r="I97" s="101">
        <f>+'OTHER COSTS'!AS82</f>
        <v>0</v>
      </c>
      <c r="J97" s="101">
        <f>+'OTHER COSTS'!AT82</f>
        <v>0</v>
      </c>
      <c r="K97" s="101">
        <f>+'OTHER COSTS'!AU82</f>
        <v>0</v>
      </c>
      <c r="L97" s="101">
        <f>+'OTHER COSTS'!AV82</f>
        <v>0</v>
      </c>
      <c r="M97" s="103">
        <f>+'OTHER COSTS'!AW82</f>
        <v>0</v>
      </c>
      <c r="N97" s="101">
        <f>+'OTHER COSTS'!AX82</f>
        <v>0</v>
      </c>
      <c r="O97" s="101">
        <f>+'OTHER COSTS'!AY82</f>
        <v>0</v>
      </c>
      <c r="P97" s="101">
        <f>+'OTHER COSTS'!AZ82</f>
        <v>0</v>
      </c>
      <c r="Q97" s="101">
        <f>+'OTHER COSTS'!BA82</f>
        <v>0</v>
      </c>
      <c r="R97" s="101">
        <f>+'OTHER COSTS'!BB82</f>
        <v>0</v>
      </c>
      <c r="S97" s="100">
        <f>+'OTHER COSTS'!BC82</f>
        <v>0</v>
      </c>
      <c r="T97" s="69"/>
      <c r="W97" s="69"/>
      <c r="X97" s="69"/>
      <c r="Y97" s="69"/>
      <c r="Z97" s="69"/>
      <c r="AA97" s="69"/>
      <c r="AB97" s="69"/>
      <c r="AC97" s="69"/>
      <c r="AD97" s="69"/>
      <c r="AE97" s="69"/>
    </row>
    <row r="98" spans="1:31" s="48" customFormat="1">
      <c r="A98" s="92" t="s">
        <v>44</v>
      </c>
      <c r="B98" s="51">
        <f>SUM(B94:B97)</f>
        <v>0</v>
      </c>
      <c r="C98" s="51">
        <f>SUM(C94:C97)</f>
        <v>107.15</v>
      </c>
      <c r="D98" s="51">
        <f>SUM(D94:D97)</f>
        <v>2.89</v>
      </c>
      <c r="E98" s="51">
        <f>SUM(E94:E97)</f>
        <v>0</v>
      </c>
      <c r="F98" s="51">
        <f>SUM(F94:F97)</f>
        <v>0</v>
      </c>
      <c r="G98" s="51">
        <f t="shared" ref="G98:S98" si="96">SUM(G94:G97)</f>
        <v>0</v>
      </c>
      <c r="H98" s="51">
        <f t="shared" si="96"/>
        <v>0</v>
      </c>
      <c r="I98" s="51">
        <f t="shared" si="96"/>
        <v>0</v>
      </c>
      <c r="J98" s="51">
        <f t="shared" si="96"/>
        <v>0</v>
      </c>
      <c r="K98" s="51">
        <f t="shared" si="96"/>
        <v>0</v>
      </c>
      <c r="L98" s="51">
        <f t="shared" si="96"/>
        <v>47.5</v>
      </c>
      <c r="M98" s="51">
        <f t="shared" si="96"/>
        <v>0</v>
      </c>
      <c r="N98" s="51">
        <f t="shared" si="96"/>
        <v>0</v>
      </c>
      <c r="O98" s="51">
        <f t="shared" si="96"/>
        <v>0</v>
      </c>
      <c r="P98" s="51">
        <f t="shared" si="96"/>
        <v>0</v>
      </c>
      <c r="Q98" s="51">
        <f t="shared" si="96"/>
        <v>0</v>
      </c>
      <c r="R98" s="51">
        <f t="shared" si="96"/>
        <v>0</v>
      </c>
      <c r="S98" s="47">
        <f t="shared" si="96"/>
        <v>47.59</v>
      </c>
      <c r="T98" s="69"/>
      <c r="W98" s="69"/>
      <c r="X98" s="69"/>
      <c r="Y98" s="69"/>
      <c r="Z98" s="69"/>
      <c r="AA98" s="69"/>
      <c r="AB98" s="69"/>
      <c r="AC98" s="69"/>
      <c r="AD98" s="69"/>
      <c r="AE98" s="69"/>
    </row>
    <row r="99" spans="1:31" s="48" customFormat="1" ht="7.5" thickBot="1">
      <c r="A99" s="93" t="s">
        <v>88</v>
      </c>
      <c r="B99" s="362"/>
      <c r="C99" s="353">
        <v>16.5</v>
      </c>
      <c r="D99" s="353">
        <v>40</v>
      </c>
      <c r="E99" s="353"/>
      <c r="F99" s="353"/>
      <c r="G99" s="353"/>
      <c r="H99" s="353"/>
      <c r="I99" s="353">
        <v>44</v>
      </c>
      <c r="J99" s="353"/>
      <c r="K99" s="353"/>
      <c r="L99" s="353">
        <v>44</v>
      </c>
      <c r="M99" s="353"/>
      <c r="N99" s="353"/>
      <c r="O99" s="353"/>
      <c r="P99" s="353"/>
      <c r="Q99" s="353"/>
      <c r="R99" s="353"/>
      <c r="S99" s="354"/>
      <c r="T99" s="69"/>
      <c r="W99" s="69"/>
      <c r="X99" s="69"/>
      <c r="Y99" s="69"/>
      <c r="Z99" s="69"/>
      <c r="AA99" s="69"/>
      <c r="AB99" s="69"/>
      <c r="AC99" s="69"/>
      <c r="AD99" s="69"/>
      <c r="AE99" s="69"/>
    </row>
    <row r="100" spans="1:31" s="48" customFormat="1" ht="11.5" thickTop="1" thickBot="1">
      <c r="A100" s="94" t="s">
        <v>75</v>
      </c>
      <c r="B100" s="275"/>
      <c r="C100" s="114" t="str">
        <f>IF(OR(LEFT(C88,2)="un",C97&lt;&gt;0,C113&lt;&gt;0, C88=""),"","Acct Due")</f>
        <v/>
      </c>
      <c r="D100" s="114" t="str">
        <f>IF(OR(LEFT(D88,2)="un",D97&lt;&gt;0,D113&lt;&gt;0, D88=""),"","Acct Due")</f>
        <v/>
      </c>
      <c r="E100" s="114" t="str">
        <f>IF(OR(LEFT(E88,2)="un",E97&lt;&gt;0,E113&lt;&gt;0, E88=""),"","Acct Due")</f>
        <v/>
      </c>
      <c r="F100" s="114" t="str">
        <f>IF(OR(LEFT(F88,2)="un",F97&lt;&gt;0,F113&lt;&gt;0, F88=""),"","Acct Due")</f>
        <v/>
      </c>
      <c r="G100" s="114" t="str">
        <f t="shared" ref="G100:S100" si="97">IF(OR(LEFT(G88,2)="un",G97&lt;&gt;0,G113&lt;&gt;0, G88=""),"","Acct Due")</f>
        <v/>
      </c>
      <c r="H100" s="114" t="str">
        <f t="shared" si="97"/>
        <v/>
      </c>
      <c r="I100" s="114" t="str">
        <f t="shared" si="97"/>
        <v/>
      </c>
      <c r="J100" s="114" t="str">
        <f t="shared" si="97"/>
        <v/>
      </c>
      <c r="K100" s="114" t="str">
        <f t="shared" si="97"/>
        <v/>
      </c>
      <c r="L100" s="114" t="str">
        <f t="shared" si="97"/>
        <v/>
      </c>
      <c r="M100" s="114" t="str">
        <f t="shared" si="97"/>
        <v/>
      </c>
      <c r="N100" s="114" t="str">
        <f t="shared" si="97"/>
        <v/>
      </c>
      <c r="O100" s="114" t="str">
        <f t="shared" si="97"/>
        <v/>
      </c>
      <c r="P100" s="114" t="str">
        <f t="shared" si="97"/>
        <v/>
      </c>
      <c r="Q100" s="114" t="str">
        <f t="shared" si="97"/>
        <v/>
      </c>
      <c r="R100" s="114" t="str">
        <f t="shared" si="97"/>
        <v/>
      </c>
      <c r="S100" s="629" t="str">
        <f t="shared" si="97"/>
        <v/>
      </c>
      <c r="T100" s="69"/>
      <c r="W100" s="69"/>
      <c r="X100" s="69"/>
      <c r="Y100" s="69"/>
      <c r="Z100" s="69"/>
      <c r="AA100" s="69"/>
      <c r="AB100" s="69"/>
      <c r="AC100" s="69"/>
      <c r="AD100" s="69"/>
      <c r="AE100" s="69"/>
    </row>
    <row r="101" spans="1:31" s="48" customFormat="1" ht="7.5" thickTop="1">
      <c r="A101" s="52" t="s">
        <v>49</v>
      </c>
      <c r="B101" s="54">
        <f>MAINTENANCE!AM55</f>
        <v>0</v>
      </c>
      <c r="C101" s="54">
        <f>MAINTENANCE!AN55</f>
        <v>0</v>
      </c>
      <c r="D101" s="54">
        <f>MAINTENANCE!AO55</f>
        <v>0</v>
      </c>
      <c r="E101" s="54">
        <f>MAINTENANCE!AP55</f>
        <v>0</v>
      </c>
      <c r="F101" s="54">
        <f>MAINTENANCE!AQ55</f>
        <v>0</v>
      </c>
      <c r="G101" s="54">
        <f>MAINTENANCE!AR55</f>
        <v>0</v>
      </c>
      <c r="H101" s="54">
        <f>MAINTENANCE!AS55</f>
        <v>0</v>
      </c>
      <c r="I101" s="54">
        <f>MAINTENANCE!AT55</f>
        <v>0</v>
      </c>
      <c r="J101" s="54">
        <f>MAINTENANCE!AU55</f>
        <v>0</v>
      </c>
      <c r="K101" s="54">
        <f>MAINTENANCE!AV55</f>
        <v>0</v>
      </c>
      <c r="L101" s="54">
        <f>MAINTENANCE!AW55</f>
        <v>0</v>
      </c>
      <c r="M101" s="54">
        <f>MAINTENANCE!AX55</f>
        <v>0</v>
      </c>
      <c r="N101" s="54">
        <f>MAINTENANCE!AY55</f>
        <v>0</v>
      </c>
      <c r="O101" s="54">
        <f>MAINTENANCE!AZ55</f>
        <v>0</v>
      </c>
      <c r="P101" s="54">
        <f>MAINTENANCE!BA55</f>
        <v>0</v>
      </c>
      <c r="Q101" s="54">
        <f>MAINTENANCE!BB55</f>
        <v>0</v>
      </c>
      <c r="R101" s="54">
        <f>MAINTENANCE!BC55</f>
        <v>0</v>
      </c>
      <c r="S101" s="85">
        <f>MAINTENANCE!BD55</f>
        <v>0</v>
      </c>
      <c r="T101" s="69"/>
      <c r="W101" s="69"/>
      <c r="X101" s="69"/>
      <c r="Y101" s="69"/>
      <c r="Z101" s="69"/>
      <c r="AA101" s="69"/>
      <c r="AB101" s="69"/>
      <c r="AC101" s="69"/>
      <c r="AD101" s="69"/>
      <c r="AE101" s="69"/>
    </row>
    <row r="102" spans="1:31" s="48" customFormat="1">
      <c r="A102" s="55" t="s">
        <v>125</v>
      </c>
      <c r="B102" s="329">
        <f>'OTHER COSTS'!AL41+'OTHER COSTS'!AL48</f>
        <v>0</v>
      </c>
      <c r="C102" s="74">
        <f>'OTHER COSTS'!AM41+'OTHER COSTS'!AM48</f>
        <v>0</v>
      </c>
      <c r="D102" s="74">
        <f>'OTHER COSTS'!AN41+'OTHER COSTS'!AN48</f>
        <v>0</v>
      </c>
      <c r="E102" s="74">
        <f>'OTHER COSTS'!AO41+'OTHER COSTS'!AO48</f>
        <v>0</v>
      </c>
      <c r="F102" s="74">
        <f>'OTHER COSTS'!AP41+'OTHER COSTS'!AP48</f>
        <v>0</v>
      </c>
      <c r="G102" s="74">
        <f>'OTHER COSTS'!AQ41+'OTHER COSTS'!AQ48</f>
        <v>0</v>
      </c>
      <c r="H102" s="74">
        <f>'OTHER COSTS'!AR41+'OTHER COSTS'!AR48</f>
        <v>0</v>
      </c>
      <c r="I102" s="74">
        <f>'OTHER COSTS'!AS41+'OTHER COSTS'!AS48</f>
        <v>0</v>
      </c>
      <c r="J102" s="74">
        <f>'OTHER COSTS'!AT41+'OTHER COSTS'!AT48</f>
        <v>0</v>
      </c>
      <c r="K102" s="74">
        <f>'OTHER COSTS'!AU41+'OTHER COSTS'!AU48</f>
        <v>0</v>
      </c>
      <c r="L102" s="74">
        <f>'OTHER COSTS'!AV41+'OTHER COSTS'!AV48</f>
        <v>0</v>
      </c>
      <c r="M102" s="74">
        <f>'OTHER COSTS'!AW41+'OTHER COSTS'!AW48</f>
        <v>0</v>
      </c>
      <c r="N102" s="74">
        <f>'OTHER COSTS'!AX41+'OTHER COSTS'!AX48</f>
        <v>0</v>
      </c>
      <c r="O102" s="74">
        <f>'OTHER COSTS'!AY41+'OTHER COSTS'!AY48</f>
        <v>0</v>
      </c>
      <c r="P102" s="74">
        <f>'OTHER COSTS'!AZ41+'OTHER COSTS'!AZ48</f>
        <v>0</v>
      </c>
      <c r="Q102" s="74">
        <f>'OTHER COSTS'!BA41+'OTHER COSTS'!BA48</f>
        <v>0</v>
      </c>
      <c r="R102" s="56">
        <f>'OTHER COSTS'!BB41+'OTHER COSTS'!BB48</f>
        <v>0</v>
      </c>
      <c r="S102" s="74">
        <f>'OTHER COSTS'!BC41+'OTHER COSTS'!BC48</f>
        <v>0</v>
      </c>
      <c r="T102" s="69"/>
      <c r="W102" s="69"/>
      <c r="X102" s="69"/>
      <c r="Y102" s="69"/>
      <c r="Z102" s="69"/>
      <c r="AA102" s="69"/>
      <c r="AB102" s="69"/>
      <c r="AC102" s="69"/>
      <c r="AD102" s="69"/>
      <c r="AE102" s="69"/>
    </row>
    <row r="103" spans="1:31" s="48" customFormat="1">
      <c r="A103" s="878" t="s">
        <v>225</v>
      </c>
      <c r="B103" s="56">
        <f>'OTHER COSTS'!AL59</f>
        <v>0</v>
      </c>
      <c r="C103" s="56">
        <f>'OTHER COSTS'!AM59</f>
        <v>0</v>
      </c>
      <c r="D103" s="56">
        <f>'OTHER COSTS'!AN59</f>
        <v>0</v>
      </c>
      <c r="E103" s="56">
        <f>'OTHER COSTS'!AO59</f>
        <v>0</v>
      </c>
      <c r="F103" s="56">
        <f>'OTHER COSTS'!AP59</f>
        <v>0</v>
      </c>
      <c r="G103" s="56">
        <f>'OTHER COSTS'!AQ59</f>
        <v>0</v>
      </c>
      <c r="H103" s="56">
        <f>'OTHER COSTS'!AR59</f>
        <v>0</v>
      </c>
      <c r="I103" s="56">
        <f>'OTHER COSTS'!AS59</f>
        <v>0</v>
      </c>
      <c r="J103" s="56">
        <f>'OTHER COSTS'!AT59</f>
        <v>0</v>
      </c>
      <c r="K103" s="56">
        <f>'OTHER COSTS'!AU59</f>
        <v>0</v>
      </c>
      <c r="L103" s="56">
        <f>'OTHER COSTS'!AV59</f>
        <v>0</v>
      </c>
      <c r="M103" s="56">
        <f>'OTHER COSTS'!AW59</f>
        <v>0</v>
      </c>
      <c r="N103" s="56">
        <f>'OTHER COSTS'!AX59</f>
        <v>0</v>
      </c>
      <c r="O103" s="56">
        <f>'OTHER COSTS'!AY59</f>
        <v>0</v>
      </c>
      <c r="P103" s="56">
        <f>'OTHER COSTS'!AZ59</f>
        <v>0</v>
      </c>
      <c r="Q103" s="56">
        <f>'OTHER COSTS'!BA59</f>
        <v>0</v>
      </c>
      <c r="R103" s="56">
        <f>'OTHER COSTS'!BB59</f>
        <v>0</v>
      </c>
      <c r="S103" s="74">
        <f>'OTHER COSTS'!BC59</f>
        <v>0</v>
      </c>
      <c r="T103" s="69"/>
      <c r="W103" s="69"/>
      <c r="X103" s="69"/>
      <c r="Y103" s="69"/>
      <c r="Z103" s="69"/>
      <c r="AA103" s="69"/>
      <c r="AB103" s="69"/>
      <c r="AC103" s="69"/>
      <c r="AD103" s="69"/>
      <c r="AE103" s="69"/>
    </row>
    <row r="104" spans="1:31" s="48" customFormat="1">
      <c r="A104" s="57" t="s">
        <v>51</v>
      </c>
      <c r="B104" s="357"/>
      <c r="C104" s="357"/>
      <c r="D104" s="357">
        <v>375</v>
      </c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5"/>
      <c r="T104" s="69"/>
      <c r="W104" s="69"/>
      <c r="X104" s="69"/>
      <c r="Y104" s="69"/>
      <c r="Z104" s="69"/>
      <c r="AA104" s="69"/>
      <c r="AB104" s="69"/>
      <c r="AC104" s="69"/>
      <c r="AD104" s="69"/>
      <c r="AE104" s="69"/>
    </row>
    <row r="105" spans="1:31" s="48" customFormat="1" ht="7.5" thickBot="1">
      <c r="A105" s="92" t="s">
        <v>76</v>
      </c>
      <c r="B105" s="51">
        <f>SUM(B101:B104)</f>
        <v>0</v>
      </c>
      <c r="C105" s="51">
        <f>SUM(C101:C104)</f>
        <v>0</v>
      </c>
      <c r="D105" s="51">
        <f>SUM(D101:D104)</f>
        <v>375</v>
      </c>
      <c r="E105" s="51">
        <f>SUM(E101:E104)</f>
        <v>0</v>
      </c>
      <c r="F105" s="51">
        <f>SUM(F101:F104)</f>
        <v>0</v>
      </c>
      <c r="G105" s="51">
        <f t="shared" ref="G105:S105" si="98">SUM(G101:G104)</f>
        <v>0</v>
      </c>
      <c r="H105" s="51">
        <f t="shared" si="98"/>
        <v>0</v>
      </c>
      <c r="I105" s="51">
        <f t="shared" si="98"/>
        <v>0</v>
      </c>
      <c r="J105" s="51">
        <f t="shared" si="98"/>
        <v>0</v>
      </c>
      <c r="K105" s="51">
        <f t="shared" si="98"/>
        <v>0</v>
      </c>
      <c r="L105" s="51">
        <f t="shared" si="98"/>
        <v>0</v>
      </c>
      <c r="M105" s="51">
        <f t="shared" si="98"/>
        <v>0</v>
      </c>
      <c r="N105" s="51">
        <f t="shared" si="98"/>
        <v>0</v>
      </c>
      <c r="O105" s="51">
        <f t="shared" si="98"/>
        <v>0</v>
      </c>
      <c r="P105" s="51">
        <f t="shared" si="98"/>
        <v>0</v>
      </c>
      <c r="Q105" s="51">
        <f t="shared" si="98"/>
        <v>0</v>
      </c>
      <c r="R105" s="51">
        <f t="shared" si="98"/>
        <v>0</v>
      </c>
      <c r="S105" s="47">
        <f t="shared" si="98"/>
        <v>0</v>
      </c>
      <c r="T105" s="69"/>
      <c r="W105" s="69"/>
      <c r="X105" s="69"/>
      <c r="Y105" s="69"/>
      <c r="Z105" s="69"/>
      <c r="AA105" s="69"/>
      <c r="AB105" s="69"/>
      <c r="AC105" s="69"/>
      <c r="AD105" s="69"/>
      <c r="AE105" s="69"/>
    </row>
    <row r="106" spans="1:31" s="48" customFormat="1" ht="11.5" thickTop="1" thickBot="1">
      <c r="A106" s="299" t="s">
        <v>55</v>
      </c>
      <c r="B106" s="54">
        <f>SUM(B99:B104)+B98</f>
        <v>0</v>
      </c>
      <c r="C106" s="54">
        <f>SUM(C99:C104)+C98</f>
        <v>123.65</v>
      </c>
      <c r="D106" s="54">
        <f>SUM(D99:D104)+D98</f>
        <v>417.89</v>
      </c>
      <c r="E106" s="54">
        <f>SUM(E99:E104)+E98</f>
        <v>0</v>
      </c>
      <c r="F106" s="54">
        <f>SUM(F99:F104)+F98</f>
        <v>0</v>
      </c>
      <c r="G106" s="54">
        <f t="shared" ref="G106:R106" si="99">SUM(G99:G104)+G98</f>
        <v>0</v>
      </c>
      <c r="H106" s="54">
        <f t="shared" si="99"/>
        <v>0</v>
      </c>
      <c r="I106" s="54">
        <f t="shared" si="99"/>
        <v>44</v>
      </c>
      <c r="J106" s="54">
        <f t="shared" si="99"/>
        <v>0</v>
      </c>
      <c r="K106" s="54">
        <f t="shared" si="99"/>
        <v>0</v>
      </c>
      <c r="L106" s="54">
        <f t="shared" si="99"/>
        <v>91.5</v>
      </c>
      <c r="M106" s="54">
        <f t="shared" si="99"/>
        <v>0</v>
      </c>
      <c r="N106" s="54">
        <f t="shared" si="99"/>
        <v>0</v>
      </c>
      <c r="O106" s="54">
        <f t="shared" si="99"/>
        <v>0</v>
      </c>
      <c r="P106" s="54">
        <f t="shared" si="99"/>
        <v>0</v>
      </c>
      <c r="Q106" s="54">
        <f t="shared" si="99"/>
        <v>0</v>
      </c>
      <c r="R106" s="54">
        <f t="shared" si="99"/>
        <v>0</v>
      </c>
      <c r="S106" s="85">
        <f>SUM(S99:S104)+S98</f>
        <v>47.59</v>
      </c>
      <c r="T106" s="69"/>
      <c r="W106" s="69"/>
      <c r="X106" s="69"/>
      <c r="Y106" s="69"/>
      <c r="Z106" s="69"/>
      <c r="AA106" s="69"/>
      <c r="AB106" s="69"/>
      <c r="AC106" s="69"/>
      <c r="AD106" s="69"/>
      <c r="AE106" s="69"/>
    </row>
    <row r="107" spans="1:31" s="48" customFormat="1" ht="8" thickTop="1" thickBot="1">
      <c r="A107" s="303" t="s">
        <v>131</v>
      </c>
      <c r="B107" s="307">
        <f>B92-B106</f>
        <v>75</v>
      </c>
      <c r="C107" s="308">
        <f>C92-C106</f>
        <v>196.35</v>
      </c>
      <c r="D107" s="308">
        <f>D92-D106</f>
        <v>-182.89</v>
      </c>
      <c r="E107" s="308">
        <f>E92-E106</f>
        <v>0</v>
      </c>
      <c r="F107" s="308">
        <f>F92-F106</f>
        <v>0</v>
      </c>
      <c r="G107" s="308">
        <f t="shared" ref="G107:S107" si="100">G92-G106</f>
        <v>0</v>
      </c>
      <c r="H107" s="308">
        <f t="shared" si="100"/>
        <v>0</v>
      </c>
      <c r="I107" s="308">
        <f t="shared" si="100"/>
        <v>176</v>
      </c>
      <c r="J107" s="308">
        <f t="shared" si="100"/>
        <v>0</v>
      </c>
      <c r="K107" s="308">
        <f t="shared" si="100"/>
        <v>0</v>
      </c>
      <c r="L107" s="308">
        <f t="shared" si="100"/>
        <v>213.5</v>
      </c>
      <c r="M107" s="308">
        <f t="shared" si="100"/>
        <v>0</v>
      </c>
      <c r="N107" s="308">
        <f t="shared" si="100"/>
        <v>145</v>
      </c>
      <c r="O107" s="308">
        <f t="shared" si="100"/>
        <v>0</v>
      </c>
      <c r="P107" s="308">
        <f t="shared" si="100"/>
        <v>0</v>
      </c>
      <c r="Q107" s="308">
        <f t="shared" si="100"/>
        <v>0</v>
      </c>
      <c r="R107" s="628">
        <f t="shared" si="100"/>
        <v>0</v>
      </c>
      <c r="S107" s="304">
        <f t="shared" si="100"/>
        <v>227.41</v>
      </c>
      <c r="T107" s="69"/>
      <c r="U107" s="69"/>
      <c r="W107" s="69"/>
      <c r="X107" s="69"/>
      <c r="Y107" s="69"/>
      <c r="Z107" s="69"/>
      <c r="AA107" s="69"/>
      <c r="AB107" s="69"/>
      <c r="AC107" s="69"/>
      <c r="AD107" s="69"/>
      <c r="AE107" s="69"/>
    </row>
    <row r="108" spans="1:31" s="225" customFormat="1" ht="8" thickTop="1" thickBot="1">
      <c r="A108" s="96" t="s">
        <v>130</v>
      </c>
      <c r="B108" s="358" t="s">
        <v>235</v>
      </c>
      <c r="C108" s="358" t="s">
        <v>235</v>
      </c>
      <c r="D108" s="358" t="s">
        <v>235</v>
      </c>
      <c r="E108" s="358" t="str">
        <f t="shared" ref="E108:S108" si="101">IF(E107=0,"","post bal.")</f>
        <v/>
      </c>
      <c r="F108" s="358" t="str">
        <f t="shared" si="101"/>
        <v/>
      </c>
      <c r="G108" s="358" t="str">
        <f t="shared" si="101"/>
        <v/>
      </c>
      <c r="H108" s="358" t="str">
        <f t="shared" si="101"/>
        <v/>
      </c>
      <c r="I108" s="358" t="s">
        <v>235</v>
      </c>
      <c r="J108" s="358" t="str">
        <f t="shared" si="101"/>
        <v/>
      </c>
      <c r="K108" s="358" t="str">
        <f t="shared" si="101"/>
        <v/>
      </c>
      <c r="L108" s="358" t="s">
        <v>235</v>
      </c>
      <c r="M108" s="358" t="str">
        <f t="shared" si="101"/>
        <v/>
      </c>
      <c r="N108" s="358" t="s">
        <v>235</v>
      </c>
      <c r="O108" s="358" t="str">
        <f t="shared" si="101"/>
        <v/>
      </c>
      <c r="P108" s="358" t="str">
        <f t="shared" si="101"/>
        <v/>
      </c>
      <c r="Q108" s="358" t="str">
        <f t="shared" si="101"/>
        <v/>
      </c>
      <c r="R108" s="358" t="str">
        <f t="shared" si="101"/>
        <v/>
      </c>
      <c r="S108" s="358" t="str">
        <f t="shared" si="101"/>
        <v>post bal.</v>
      </c>
      <c r="T108" s="207"/>
      <c r="U108" s="207"/>
      <c r="W108" s="224"/>
      <c r="X108" s="224"/>
      <c r="Y108" s="224"/>
      <c r="Z108" s="224"/>
      <c r="AA108" s="224"/>
      <c r="AB108" s="224"/>
      <c r="AC108" s="224"/>
      <c r="AD108" s="224"/>
      <c r="AE108" s="224"/>
    </row>
    <row r="109" spans="1:31" s="271" customFormat="1" ht="7.5" hidden="1" thickTop="1">
      <c r="A109" s="265" t="s">
        <v>116</v>
      </c>
      <c r="B109" s="268">
        <f t="shared" ref="B109:S109" si="102">IF(B108="post bal.",B107,0)</f>
        <v>0</v>
      </c>
      <c r="C109" s="268">
        <f t="shared" si="102"/>
        <v>0</v>
      </c>
      <c r="D109" s="268">
        <f t="shared" si="102"/>
        <v>0</v>
      </c>
      <c r="E109" s="268">
        <f t="shared" si="102"/>
        <v>0</v>
      </c>
      <c r="F109" s="268">
        <f t="shared" si="102"/>
        <v>0</v>
      </c>
      <c r="G109" s="268">
        <f t="shared" si="102"/>
        <v>0</v>
      </c>
      <c r="H109" s="268">
        <f t="shared" si="102"/>
        <v>0</v>
      </c>
      <c r="I109" s="268">
        <f t="shared" si="102"/>
        <v>0</v>
      </c>
      <c r="J109" s="268">
        <f t="shared" si="102"/>
        <v>0</v>
      </c>
      <c r="K109" s="268">
        <f t="shared" si="102"/>
        <v>0</v>
      </c>
      <c r="L109" s="268">
        <f t="shared" si="102"/>
        <v>0</v>
      </c>
      <c r="M109" s="268">
        <f t="shared" si="102"/>
        <v>0</v>
      </c>
      <c r="N109" s="268">
        <f t="shared" si="102"/>
        <v>0</v>
      </c>
      <c r="O109" s="268">
        <f t="shared" si="102"/>
        <v>0</v>
      </c>
      <c r="P109" s="268">
        <f t="shared" si="102"/>
        <v>0</v>
      </c>
      <c r="Q109" s="268">
        <f t="shared" si="102"/>
        <v>0</v>
      </c>
      <c r="R109" s="268">
        <f t="shared" si="102"/>
        <v>0</v>
      </c>
      <c r="S109" s="268">
        <f t="shared" si="102"/>
        <v>227.41</v>
      </c>
      <c r="T109" s="268">
        <f>IF(T108="post bal.",T106,0)</f>
        <v>0</v>
      </c>
      <c r="U109" s="268">
        <f>IF(U108="post bal.",U106,0)</f>
        <v>0</v>
      </c>
      <c r="W109" s="272"/>
      <c r="X109" s="272"/>
      <c r="Y109" s="272"/>
      <c r="Z109" s="272"/>
      <c r="AA109" s="272"/>
      <c r="AB109" s="272"/>
      <c r="AC109" s="272"/>
      <c r="AD109" s="272"/>
      <c r="AE109" s="272"/>
    </row>
    <row r="110" spans="1:31" s="266" customFormat="1" hidden="1">
      <c r="A110" s="270" t="s">
        <v>117</v>
      </c>
      <c r="B110" s="266">
        <f t="shared" ref="B110:S110" si="103">IF(B79="Insurance",B104,0)</f>
        <v>0</v>
      </c>
      <c r="C110" s="266">
        <f t="shared" si="103"/>
        <v>0</v>
      </c>
      <c r="D110" s="266">
        <f t="shared" si="103"/>
        <v>0</v>
      </c>
      <c r="E110" s="266">
        <f t="shared" si="103"/>
        <v>0</v>
      </c>
      <c r="F110" s="266">
        <f t="shared" si="103"/>
        <v>0</v>
      </c>
      <c r="G110" s="266">
        <f t="shared" si="103"/>
        <v>0</v>
      </c>
      <c r="H110" s="266">
        <f t="shared" si="103"/>
        <v>0</v>
      </c>
      <c r="I110" s="266">
        <f t="shared" si="103"/>
        <v>0</v>
      </c>
      <c r="J110" s="266">
        <f t="shared" si="103"/>
        <v>0</v>
      </c>
      <c r="K110" s="266">
        <f t="shared" si="103"/>
        <v>0</v>
      </c>
      <c r="L110" s="266">
        <f t="shared" si="103"/>
        <v>0</v>
      </c>
      <c r="M110" s="266">
        <f t="shared" si="103"/>
        <v>0</v>
      </c>
      <c r="N110" s="266">
        <f t="shared" si="103"/>
        <v>0</v>
      </c>
      <c r="O110" s="266">
        <f t="shared" si="103"/>
        <v>0</v>
      </c>
      <c r="P110" s="266">
        <f t="shared" si="103"/>
        <v>0</v>
      </c>
      <c r="Q110" s="266">
        <f t="shared" si="103"/>
        <v>0</v>
      </c>
      <c r="R110" s="266">
        <f t="shared" si="103"/>
        <v>0</v>
      </c>
      <c r="S110" s="266">
        <f t="shared" si="103"/>
        <v>0</v>
      </c>
      <c r="W110" s="267"/>
      <c r="X110" s="267"/>
      <c r="Y110" s="267"/>
      <c r="Z110" s="267"/>
      <c r="AA110" s="267"/>
      <c r="AB110" s="267"/>
      <c r="AC110" s="267"/>
      <c r="AD110" s="267"/>
      <c r="AE110" s="267"/>
    </row>
    <row r="111" spans="1:31" s="266" customFormat="1" hidden="1">
      <c r="A111" s="270" t="s">
        <v>118</v>
      </c>
      <c r="B111" s="266">
        <f t="shared" ref="B111:S111" si="104">IF(B79="Mooring",B105,0)</f>
        <v>0</v>
      </c>
      <c r="C111" s="266">
        <f t="shared" si="104"/>
        <v>0</v>
      </c>
      <c r="D111" s="266">
        <f t="shared" si="104"/>
        <v>0</v>
      </c>
      <c r="E111" s="266">
        <f t="shared" si="104"/>
        <v>0</v>
      </c>
      <c r="F111" s="266">
        <f t="shared" si="104"/>
        <v>0</v>
      </c>
      <c r="G111" s="266">
        <f t="shared" si="104"/>
        <v>0</v>
      </c>
      <c r="H111" s="266">
        <f t="shared" si="104"/>
        <v>0</v>
      </c>
      <c r="I111" s="266">
        <f t="shared" si="104"/>
        <v>0</v>
      </c>
      <c r="J111" s="266">
        <f t="shared" si="104"/>
        <v>0</v>
      </c>
      <c r="K111" s="266">
        <f t="shared" si="104"/>
        <v>0</v>
      </c>
      <c r="L111" s="266">
        <f t="shared" si="104"/>
        <v>0</v>
      </c>
      <c r="M111" s="266">
        <f t="shared" si="104"/>
        <v>0</v>
      </c>
      <c r="N111" s="266">
        <f t="shared" si="104"/>
        <v>0</v>
      </c>
      <c r="O111" s="266">
        <f t="shared" si="104"/>
        <v>0</v>
      </c>
      <c r="P111" s="266">
        <f t="shared" si="104"/>
        <v>0</v>
      </c>
      <c r="Q111" s="266">
        <f t="shared" si="104"/>
        <v>0</v>
      </c>
      <c r="R111" s="266">
        <f t="shared" si="104"/>
        <v>0</v>
      </c>
      <c r="S111" s="266">
        <f t="shared" si="104"/>
        <v>0</v>
      </c>
      <c r="W111" s="267"/>
      <c r="X111" s="267"/>
      <c r="Y111" s="267"/>
      <c r="Z111" s="267"/>
      <c r="AA111" s="267"/>
      <c r="AB111" s="267"/>
      <c r="AC111" s="267"/>
      <c r="AD111" s="267"/>
      <c r="AE111" s="267"/>
    </row>
    <row r="112" spans="1:31" s="266" customFormat="1" hidden="1">
      <c r="A112" s="270" t="s">
        <v>119</v>
      </c>
      <c r="B112" s="266">
        <f t="shared" ref="B112:S112" si="105">IF(B79="Licence",B106,0)</f>
        <v>0</v>
      </c>
      <c r="C112" s="267">
        <f t="shared" si="105"/>
        <v>0</v>
      </c>
      <c r="D112" s="267">
        <f t="shared" si="105"/>
        <v>0</v>
      </c>
      <c r="E112" s="266">
        <f t="shared" si="105"/>
        <v>0</v>
      </c>
      <c r="F112" s="266">
        <f t="shared" si="105"/>
        <v>0</v>
      </c>
      <c r="G112" s="266">
        <f t="shared" si="105"/>
        <v>0</v>
      </c>
      <c r="H112" s="266">
        <f t="shared" si="105"/>
        <v>0</v>
      </c>
      <c r="I112" s="266">
        <f t="shared" si="105"/>
        <v>0</v>
      </c>
      <c r="J112" s="266">
        <f t="shared" si="105"/>
        <v>0</v>
      </c>
      <c r="K112" s="266">
        <f t="shared" si="105"/>
        <v>0</v>
      </c>
      <c r="L112" s="266">
        <f t="shared" si="105"/>
        <v>0</v>
      </c>
      <c r="M112" s="266">
        <f t="shared" si="105"/>
        <v>0</v>
      </c>
      <c r="N112" s="266">
        <f t="shared" si="105"/>
        <v>0</v>
      </c>
      <c r="O112" s="266">
        <f t="shared" si="105"/>
        <v>0</v>
      </c>
      <c r="P112" s="266">
        <f t="shared" si="105"/>
        <v>0</v>
      </c>
      <c r="Q112" s="266">
        <f t="shared" si="105"/>
        <v>0</v>
      </c>
      <c r="R112" s="266">
        <f t="shared" si="105"/>
        <v>0</v>
      </c>
      <c r="S112" s="266">
        <f t="shared" si="105"/>
        <v>0</v>
      </c>
      <c r="W112" s="267"/>
      <c r="X112" s="267"/>
      <c r="Y112" s="267"/>
      <c r="Z112" s="267"/>
      <c r="AA112" s="267"/>
      <c r="AB112" s="267"/>
      <c r="AC112" s="267"/>
      <c r="AD112" s="267"/>
      <c r="AE112" s="267"/>
    </row>
    <row r="113" spans="1:219" s="279" customFormat="1" ht="7.5" hidden="1" thickBot="1">
      <c r="A113" s="278" t="s">
        <v>120</v>
      </c>
      <c r="B113" s="279">
        <f>B104-SUM(B110:B112)</f>
        <v>0</v>
      </c>
      <c r="C113" s="279">
        <f>C104-SUM(C110:C112)</f>
        <v>0</v>
      </c>
      <c r="D113" s="279">
        <f>D104-SUM(D110:D112)</f>
        <v>375</v>
      </c>
      <c r="E113" s="279">
        <f t="shared" ref="E113:R113" si="106">E104-SUM(E110:E112)</f>
        <v>0</v>
      </c>
      <c r="F113" s="279">
        <f t="shared" si="106"/>
        <v>0</v>
      </c>
      <c r="G113" s="279">
        <f t="shared" si="106"/>
        <v>0</v>
      </c>
      <c r="H113" s="279">
        <f t="shared" si="106"/>
        <v>0</v>
      </c>
      <c r="I113" s="279">
        <f t="shared" si="106"/>
        <v>0</v>
      </c>
      <c r="J113" s="279">
        <f t="shared" si="106"/>
        <v>0</v>
      </c>
      <c r="K113" s="279">
        <f t="shared" si="106"/>
        <v>0</v>
      </c>
      <c r="L113" s="279">
        <f t="shared" si="106"/>
        <v>0</v>
      </c>
      <c r="M113" s="279">
        <f t="shared" si="106"/>
        <v>0</v>
      </c>
      <c r="N113" s="279">
        <f t="shared" si="106"/>
        <v>0</v>
      </c>
      <c r="O113" s="279">
        <f t="shared" si="106"/>
        <v>0</v>
      </c>
      <c r="P113" s="279">
        <f t="shared" si="106"/>
        <v>0</v>
      </c>
      <c r="Q113" s="279">
        <f t="shared" si="106"/>
        <v>0</v>
      </c>
      <c r="R113" s="279">
        <f t="shared" si="106"/>
        <v>0</v>
      </c>
      <c r="S113" s="279">
        <f>S104-SUM(S110:S112)</f>
        <v>0</v>
      </c>
    </row>
    <row r="114" spans="1:219" ht="8" thickTop="1" thickBot="1">
      <c r="B114" s="48"/>
      <c r="C114" s="48"/>
      <c r="D114" s="48"/>
      <c r="J114" s="2"/>
      <c r="Y114" s="90"/>
      <c r="Z114" s="90"/>
      <c r="AA114" s="90"/>
      <c r="AB114" s="90"/>
      <c r="AC114" s="90"/>
      <c r="AD114" s="90"/>
      <c r="AE114" s="90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</row>
    <row r="115" spans="1:219" s="48" customFormat="1" ht="11.5" thickTop="1" thickBot="1">
      <c r="A115" s="11" t="s">
        <v>140</v>
      </c>
      <c r="H115" s="595"/>
      <c r="I115" s="596"/>
      <c r="J115" s="597"/>
      <c r="K115" s="453"/>
      <c r="L115" s="598"/>
      <c r="M115" s="599"/>
      <c r="N115" s="596"/>
      <c r="O115" s="596"/>
      <c r="P115" s="596"/>
      <c r="Q115" s="596"/>
      <c r="R115" s="596"/>
      <c r="S115" s="596"/>
      <c r="W115" s="69"/>
      <c r="X115" s="69"/>
      <c r="Y115" s="69"/>
      <c r="Z115" s="69"/>
      <c r="AA115" s="69"/>
      <c r="AB115" s="69"/>
      <c r="AC115" s="69"/>
      <c r="AD115" s="69"/>
      <c r="AE115" s="69"/>
    </row>
    <row r="116" spans="1:219" s="48" customFormat="1" ht="7.5" thickTop="1">
      <c r="A116" s="87" t="s">
        <v>70</v>
      </c>
      <c r="B116" s="336" t="s">
        <v>160</v>
      </c>
      <c r="C116" s="336" t="s">
        <v>160</v>
      </c>
      <c r="D116" s="336" t="s">
        <v>160</v>
      </c>
      <c r="E116" s="336" t="s">
        <v>160</v>
      </c>
      <c r="F116" s="446"/>
      <c r="G116" s="90"/>
      <c r="H116" s="607"/>
      <c r="I116" s="608"/>
      <c r="J116" s="608"/>
      <c r="K116" s="608"/>
      <c r="L116" s="602"/>
      <c r="M116" s="600"/>
      <c r="N116" s="600"/>
      <c r="O116" s="600"/>
      <c r="P116" s="600"/>
      <c r="Q116" s="600"/>
      <c r="R116" s="600"/>
      <c r="S116" s="600"/>
      <c r="T116" s="69"/>
      <c r="U116" s="24" t="s">
        <v>12</v>
      </c>
      <c r="W116" s="69"/>
      <c r="X116" s="69"/>
      <c r="Y116" s="69"/>
      <c r="Z116" s="69"/>
      <c r="AA116" s="69"/>
      <c r="AB116" s="69"/>
      <c r="AC116" s="69"/>
      <c r="AD116" s="69"/>
      <c r="AE116" s="69"/>
    </row>
    <row r="117" spans="1:219" s="48" customFormat="1">
      <c r="A117" s="7" t="s">
        <v>71</v>
      </c>
      <c r="B117" s="242">
        <f>S80+7</f>
        <v>44560</v>
      </c>
      <c r="C117" s="86">
        <f>B117+7</f>
        <v>44567</v>
      </c>
      <c r="D117" s="86">
        <f>C117+7</f>
        <v>44574</v>
      </c>
      <c r="E117" s="86">
        <f>D117+7</f>
        <v>44581</v>
      </c>
      <c r="F117" s="447"/>
      <c r="G117" s="89"/>
      <c r="H117" s="600"/>
      <c r="I117" s="608"/>
      <c r="J117" s="608"/>
      <c r="K117" s="608"/>
      <c r="L117" s="602"/>
      <c r="M117" s="600"/>
      <c r="N117" s="600"/>
      <c r="O117" s="600"/>
      <c r="P117" s="600"/>
      <c r="Q117" s="600"/>
      <c r="R117" s="600"/>
      <c r="S117" s="600"/>
      <c r="T117" s="69"/>
      <c r="U117" s="89"/>
      <c r="W117" s="69"/>
      <c r="X117" s="69"/>
      <c r="Y117" s="69"/>
      <c r="Z117" s="69"/>
      <c r="AA117" s="69"/>
      <c r="AB117" s="69"/>
      <c r="AC117" s="69"/>
      <c r="AD117" s="69"/>
      <c r="AE117" s="69"/>
    </row>
    <row r="118" spans="1:219" s="48" customFormat="1">
      <c r="A118" s="104" t="s">
        <v>14</v>
      </c>
      <c r="B118" s="340"/>
      <c r="C118" s="338"/>
      <c r="D118" s="338"/>
      <c r="E118" s="338"/>
      <c r="F118" s="448"/>
      <c r="G118" s="109"/>
      <c r="H118" s="600"/>
      <c r="I118" s="608"/>
      <c r="J118" s="608"/>
      <c r="K118" s="608"/>
      <c r="L118" s="602"/>
      <c r="M118" s="600"/>
      <c r="N118" s="600"/>
      <c r="O118" s="600"/>
      <c r="P118" s="600"/>
      <c r="Q118" s="600"/>
      <c r="R118" s="600"/>
      <c r="S118" s="600"/>
      <c r="T118" s="69"/>
      <c r="U118" s="107">
        <f>SUM(7:7)+SUM(44:44)+SUM(81:81)+SUM(B118:E118)</f>
        <v>64</v>
      </c>
      <c r="W118" s="69"/>
      <c r="X118" s="69"/>
      <c r="Y118" s="69"/>
      <c r="Z118" s="69"/>
      <c r="AA118" s="69"/>
      <c r="AB118" s="69"/>
      <c r="AC118" s="69"/>
      <c r="AD118" s="69"/>
      <c r="AE118" s="69"/>
    </row>
    <row r="119" spans="1:219" s="48" customFormat="1" ht="7.5" thickBot="1">
      <c r="A119" s="108" t="s">
        <v>15</v>
      </c>
      <c r="B119" s="343"/>
      <c r="C119" s="341"/>
      <c r="D119" s="341"/>
      <c r="E119" s="341"/>
      <c r="F119" s="448"/>
      <c r="G119" s="109"/>
      <c r="H119" s="600"/>
      <c r="I119" s="608"/>
      <c r="J119" s="608"/>
      <c r="K119" s="608"/>
      <c r="L119" s="602"/>
      <c r="M119" s="600"/>
      <c r="N119" s="600"/>
      <c r="O119" s="600"/>
      <c r="P119" s="600"/>
      <c r="Q119" s="600"/>
      <c r="R119" s="600"/>
      <c r="S119" s="600"/>
      <c r="T119" s="69"/>
      <c r="U119" s="107">
        <f>SUM(8:8)+SUM(45:45)+SUM(82:82)+SUM(B119:E119)</f>
        <v>90.5</v>
      </c>
      <c r="W119" s="69"/>
      <c r="X119" s="69"/>
      <c r="Y119" s="69"/>
      <c r="Z119" s="69"/>
      <c r="AA119" s="69"/>
      <c r="AB119" s="69"/>
      <c r="AC119" s="69"/>
      <c r="AD119" s="69"/>
      <c r="AE119" s="69"/>
    </row>
    <row r="120" spans="1:219" s="282" customFormat="1" ht="9.75" hidden="1" customHeight="1" thickTop="1">
      <c r="A120" s="280" t="s">
        <v>123</v>
      </c>
      <c r="B120" s="306">
        <f>IF(OR(ISTEXT(B117),B117=0),Summary!$E$1-7,B117-MOD(B117-Summary!$E$1,7))</f>
        <v>44560</v>
      </c>
      <c r="C120" s="281">
        <f>IF(OR(ISTEXT(C117),C117=0),Summary!$E$1-7,C117-MOD(C117-Summary!$E$1,7))</f>
        <v>44567</v>
      </c>
      <c r="D120" s="281">
        <f>IF(OR(ISTEXT(D117),D117=0),Summary!$E$1-7,D117-MOD(D117-Summary!$E$1,7))</f>
        <v>44574</v>
      </c>
      <c r="E120" s="281">
        <f>IF(OR(ISTEXT(E117),E117=0),Summary!$E$1-7,E117-MOD(E117-Summary!$E$1,7))</f>
        <v>44581</v>
      </c>
      <c r="F120" s="449"/>
      <c r="G120" s="283"/>
      <c r="H120" s="600"/>
      <c r="I120" s="608"/>
      <c r="J120" s="608"/>
      <c r="K120" s="608"/>
      <c r="L120" s="602"/>
      <c r="M120" s="600"/>
      <c r="N120" s="600"/>
      <c r="O120" s="600"/>
      <c r="P120" s="600"/>
      <c r="Q120" s="600"/>
      <c r="R120" s="600"/>
      <c r="S120" s="600"/>
      <c r="T120" s="283"/>
      <c r="W120" s="283"/>
      <c r="X120" s="283"/>
      <c r="Y120" s="283"/>
      <c r="Z120" s="283"/>
      <c r="AA120" s="283"/>
      <c r="AB120" s="283"/>
      <c r="AC120" s="283"/>
      <c r="AD120" s="283"/>
      <c r="AE120" s="283"/>
    </row>
    <row r="121" spans="1:219" s="282" customFormat="1" ht="9.75" hidden="1" customHeight="1">
      <c r="A121" s="274" t="s">
        <v>135</v>
      </c>
      <c r="B121" s="326" t="b">
        <f>OR(ISNUMBER(HLOOKUP(B120,B157:S158,2)),ISNUMBER(HLOOKUP(B120,B198:S199,2)))</f>
        <v>0</v>
      </c>
      <c r="C121" s="332" t="b">
        <f>OR(ISNUMBER(HLOOKUP(C120,C157:T158,2)),ISNUMBER(HLOOKUP(C120,C198:T199,2)))</f>
        <v>0</v>
      </c>
      <c r="D121" s="332" t="b">
        <f>OR(ISNUMBER(HLOOKUP(D120,D157:U158,2)),ISNUMBER(HLOOKUP(D120,D198:U199,2)))</f>
        <v>0</v>
      </c>
      <c r="E121" s="332" t="b">
        <f>OR(ISNUMBER(HLOOKUP(E120,E157:V158,2)),ISNUMBER(HLOOKUP(E120,E198:V199,2)))</f>
        <v>0</v>
      </c>
      <c r="F121" s="450"/>
      <c r="G121" s="273"/>
      <c r="H121" s="600"/>
      <c r="I121" s="608"/>
      <c r="J121" s="608"/>
      <c r="K121" s="608"/>
      <c r="L121" s="602"/>
      <c r="M121" s="600"/>
      <c r="N121" s="600"/>
      <c r="O121" s="600"/>
      <c r="P121" s="600"/>
      <c r="Q121" s="600"/>
      <c r="R121" s="600"/>
      <c r="S121" s="600"/>
      <c r="T121" s="283"/>
      <c r="W121" s="283"/>
      <c r="X121" s="283"/>
      <c r="Y121" s="283"/>
      <c r="Z121" s="283"/>
      <c r="AA121" s="283"/>
      <c r="AB121" s="283"/>
      <c r="AC121" s="283"/>
      <c r="AD121" s="283"/>
      <c r="AE121" s="283"/>
    </row>
    <row r="122" spans="1:219" s="282" customFormat="1" ht="9.75" hidden="1" customHeight="1">
      <c r="A122" s="274" t="s">
        <v>133</v>
      </c>
      <c r="B122" s="326">
        <f>IF(OR(B121,B118=0),0,1)</f>
        <v>0</v>
      </c>
      <c r="C122" s="332">
        <f>IF(OR(C121,C118=0),0,1)</f>
        <v>0</v>
      </c>
      <c r="D122" s="332">
        <f>IF(OR(D121,D118=0),0,1)</f>
        <v>0</v>
      </c>
      <c r="E122" s="332">
        <f>IF(OR(E121,E118=0),0,1)</f>
        <v>0</v>
      </c>
      <c r="F122" s="450"/>
      <c r="G122" s="273"/>
      <c r="H122" s="600"/>
      <c r="I122" s="608"/>
      <c r="J122" s="608"/>
      <c r="K122" s="608"/>
      <c r="L122" s="602"/>
      <c r="M122" s="600"/>
      <c r="N122" s="600"/>
      <c r="O122" s="600"/>
      <c r="P122" s="600"/>
      <c r="Q122" s="600"/>
      <c r="R122" s="600"/>
      <c r="S122" s="600"/>
      <c r="T122" s="283"/>
      <c r="W122" s="283"/>
      <c r="X122" s="283"/>
      <c r="Y122" s="283"/>
      <c r="Z122" s="283"/>
      <c r="AA122" s="283"/>
      <c r="AB122" s="283"/>
      <c r="AC122" s="283"/>
      <c r="AD122" s="283"/>
      <c r="AE122" s="283"/>
    </row>
    <row r="123" spans="1:219" s="271" customFormat="1" ht="9.75" hidden="1" customHeight="1">
      <c r="A123" s="274" t="s">
        <v>121</v>
      </c>
      <c r="B123" s="273">
        <f>IF(B118&gt;0,IF(B120=S83,S86,S86+1),S86)</f>
        <v>15</v>
      </c>
      <c r="C123" s="273">
        <f>IF(C118&gt;0,IF(C120=B120,B123,B123+1),B123)</f>
        <v>15</v>
      </c>
      <c r="D123" s="273">
        <f>IF(D118&gt;0,IF(D120=C120,C123,C123+1),C123)</f>
        <v>15</v>
      </c>
      <c r="E123" s="273">
        <f>IF(E118&gt;0,IF(E120=D120,D123,D123+1),D123)</f>
        <v>15</v>
      </c>
      <c r="F123" s="450"/>
      <c r="G123" s="273"/>
      <c r="H123" s="600"/>
      <c r="I123" s="608"/>
      <c r="J123" s="608"/>
      <c r="K123" s="608"/>
      <c r="L123" s="602"/>
      <c r="M123" s="600"/>
      <c r="N123" s="600"/>
      <c r="O123" s="600"/>
      <c r="P123" s="600"/>
      <c r="Q123" s="600"/>
      <c r="R123" s="600"/>
      <c r="S123" s="600"/>
      <c r="T123" s="272"/>
      <c r="U123" s="273">
        <f>MAX(12:12,49:49,86:86,B123:E123)</f>
        <v>15</v>
      </c>
      <c r="W123" s="272"/>
      <c r="X123" s="272"/>
      <c r="Y123" s="272"/>
      <c r="Z123" s="272"/>
      <c r="AA123" s="272"/>
      <c r="AB123" s="272"/>
      <c r="AC123" s="272"/>
      <c r="AD123" s="272"/>
      <c r="AE123" s="272"/>
    </row>
    <row r="124" spans="1:219" s="271" customFormat="1" ht="9.75" hidden="1" customHeight="1" thickBot="1">
      <c r="A124" s="274" t="s">
        <v>122</v>
      </c>
      <c r="B124" s="273">
        <f>IF(ISERROR(B117-S83),0,IF(OR(B117-S83&lt;7,LEN(B116)&gt;10),0,1))</f>
        <v>0</v>
      </c>
      <c r="C124" s="273">
        <f>IF(ISERROR(C117-B117),0,IF(OR(C117-B117&lt;7,LEN(C116)&gt;10),0,1))</f>
        <v>0</v>
      </c>
      <c r="D124" s="273">
        <f>IF(ISERROR(D117-C117),0,IF(OR(D117-C117&lt;7,LEN(D116)&gt;10),0,1))</f>
        <v>0</v>
      </c>
      <c r="E124" s="273">
        <f>IF(ISERROR(E117-D117),0,IF(OR(E117-D117&lt;7,LEN(E116)&gt;10),0,1))</f>
        <v>0</v>
      </c>
      <c r="F124" s="450"/>
      <c r="G124" s="273"/>
      <c r="H124" s="600"/>
      <c r="I124" s="608"/>
      <c r="J124" s="608"/>
      <c r="K124" s="608"/>
      <c r="L124" s="602"/>
      <c r="M124" s="600"/>
      <c r="N124" s="600"/>
      <c r="O124" s="600"/>
      <c r="P124" s="600"/>
      <c r="Q124" s="600"/>
      <c r="R124" s="600"/>
      <c r="S124" s="600"/>
      <c r="T124" s="272"/>
      <c r="U124" s="273">
        <f>SUM(13:13,50:50,87:87,B124:E124)</f>
        <v>17</v>
      </c>
      <c r="W124" s="272"/>
      <c r="X124" s="272"/>
      <c r="Y124" s="272"/>
      <c r="Z124" s="272"/>
      <c r="AA124" s="272"/>
      <c r="AB124" s="272"/>
      <c r="AC124" s="272"/>
      <c r="AD124" s="272"/>
      <c r="AE124" s="272"/>
    </row>
    <row r="125" spans="1:219" s="48" customFormat="1" ht="11.5" thickTop="1" thickBot="1">
      <c r="A125" s="68" t="s">
        <v>16</v>
      </c>
      <c r="B125" s="67"/>
      <c r="C125" s="20"/>
      <c r="D125" s="20"/>
      <c r="E125" s="20"/>
      <c r="F125" s="451"/>
      <c r="G125" s="70"/>
      <c r="H125" s="600"/>
      <c r="I125" s="608"/>
      <c r="J125" s="608"/>
      <c r="K125" s="608"/>
      <c r="L125" s="602"/>
      <c r="M125" s="600"/>
      <c r="N125" s="600"/>
      <c r="O125" s="600"/>
      <c r="P125" s="600"/>
      <c r="Q125" s="600"/>
      <c r="R125" s="600"/>
      <c r="S125" s="600"/>
      <c r="T125" s="69"/>
      <c r="U125" s="1"/>
      <c r="W125" s="69"/>
      <c r="X125" s="69"/>
      <c r="Y125" s="69"/>
      <c r="Z125" s="69"/>
      <c r="AA125" s="69"/>
      <c r="AB125" s="69"/>
      <c r="AC125" s="69"/>
      <c r="AD125" s="69"/>
      <c r="AE125" s="69"/>
    </row>
    <row r="126" spans="1:219" s="48" customFormat="1" ht="7.5" thickTop="1">
      <c r="A126" s="52" t="s">
        <v>25</v>
      </c>
      <c r="B126" s="346"/>
      <c r="C126" s="344"/>
      <c r="D126" s="344"/>
      <c r="E126" s="344"/>
      <c r="F126" s="452"/>
      <c r="G126" s="69"/>
      <c r="H126" s="600"/>
      <c r="I126" s="608"/>
      <c r="J126" s="608"/>
      <c r="K126" s="608"/>
      <c r="L126" s="602"/>
      <c r="M126" s="600"/>
      <c r="N126" s="600"/>
      <c r="O126" s="600"/>
      <c r="P126" s="600"/>
      <c r="Q126" s="600"/>
      <c r="R126" s="600"/>
      <c r="S126" s="600"/>
      <c r="T126" s="69"/>
      <c r="U126" s="54">
        <f>SUM(15:15)+SUM(52:52)+SUM(89:89)+SUM(B126:E126)</f>
        <v>375</v>
      </c>
      <c r="W126" s="69"/>
      <c r="X126" s="69"/>
      <c r="Y126" s="69"/>
      <c r="Z126" s="69"/>
      <c r="AA126" s="69"/>
      <c r="AB126" s="69"/>
      <c r="AC126" s="69"/>
      <c r="AD126" s="69"/>
      <c r="AE126" s="69"/>
    </row>
    <row r="127" spans="1:219" s="48" customFormat="1">
      <c r="A127" s="55" t="s">
        <v>26</v>
      </c>
      <c r="B127" s="349"/>
      <c r="C127" s="347"/>
      <c r="D127" s="347"/>
      <c r="E127" s="347"/>
      <c r="F127" s="452"/>
      <c r="G127" s="69"/>
      <c r="H127" s="600"/>
      <c r="I127" s="608"/>
      <c r="J127" s="608"/>
      <c r="K127" s="608"/>
      <c r="L127" s="602"/>
      <c r="M127" s="600"/>
      <c r="N127" s="600"/>
      <c r="O127" s="600"/>
      <c r="P127" s="600"/>
      <c r="Q127" s="600"/>
      <c r="R127" s="600"/>
      <c r="S127" s="600"/>
      <c r="T127" s="69"/>
      <c r="U127" s="56">
        <f>SUM(16:16)+SUM(53:53)+SUM(90:90)+SUM(B127:E127)</f>
        <v>1720</v>
      </c>
      <c r="W127" s="69"/>
      <c r="X127" s="69"/>
      <c r="Y127" s="69"/>
      <c r="Z127" s="69"/>
      <c r="AA127" s="69"/>
      <c r="AB127" s="69"/>
      <c r="AC127" s="69"/>
      <c r="AD127" s="69"/>
      <c r="AE127" s="69"/>
    </row>
    <row r="128" spans="1:219" s="48" customFormat="1" ht="7.5" thickBot="1">
      <c r="A128" s="112" t="s">
        <v>29</v>
      </c>
      <c r="B128" s="352"/>
      <c r="C128" s="350"/>
      <c r="D128" s="350"/>
      <c r="E128" s="350"/>
      <c r="F128" s="452"/>
      <c r="G128" s="69"/>
      <c r="H128" s="600"/>
      <c r="I128" s="608"/>
      <c r="J128" s="608"/>
      <c r="K128" s="608"/>
      <c r="L128" s="602"/>
      <c r="M128" s="600"/>
      <c r="N128" s="600"/>
      <c r="O128" s="600"/>
      <c r="P128" s="600"/>
      <c r="Q128" s="600"/>
      <c r="R128" s="600"/>
      <c r="S128" s="600"/>
      <c r="T128" s="69"/>
      <c r="U128" s="113">
        <f>SUM(17:17)+SUM(54:54)+SUM(91:91)+SUM(B128:E128)</f>
        <v>905</v>
      </c>
      <c r="V128" s="305"/>
      <c r="W128" s="69"/>
      <c r="X128" s="69"/>
      <c r="Y128" s="69"/>
      <c r="Z128" s="69"/>
      <c r="AA128" s="69"/>
      <c r="AB128" s="69"/>
      <c r="AC128" s="69"/>
      <c r="AD128" s="69"/>
      <c r="AE128" s="69"/>
    </row>
    <row r="129" spans="1:31" s="48" customFormat="1" ht="11.5" thickTop="1" thickBot="1">
      <c r="A129" s="115" t="s">
        <v>72</v>
      </c>
      <c r="B129" s="56">
        <f>SUM(B126:B128)</f>
        <v>0</v>
      </c>
      <c r="C129" s="74">
        <f>SUM(C126:C128)</f>
        <v>0</v>
      </c>
      <c r="D129" s="74">
        <f>SUM(D126:D128)</f>
        <v>0</v>
      </c>
      <c r="E129" s="74">
        <f>SUM(E126:E128)</f>
        <v>0</v>
      </c>
      <c r="F129" s="453"/>
      <c r="G129" s="69"/>
      <c r="H129" s="600"/>
      <c r="I129" s="608"/>
      <c r="J129" s="608"/>
      <c r="K129" s="608"/>
      <c r="L129" s="602"/>
      <c r="M129" s="600"/>
      <c r="N129" s="600"/>
      <c r="O129" s="600"/>
      <c r="P129" s="600"/>
      <c r="Q129" s="600"/>
      <c r="R129" s="600"/>
      <c r="S129" s="600"/>
      <c r="T129" s="69"/>
      <c r="U129" s="56">
        <f>SUM(18:18)+SUM(55:55)+SUM(92:92)+SUM(B129:E129)</f>
        <v>3000</v>
      </c>
      <c r="W129" s="69"/>
      <c r="X129" s="69"/>
      <c r="Y129" s="69"/>
      <c r="Z129" s="69"/>
      <c r="AA129" s="69"/>
      <c r="AB129" s="69"/>
      <c r="AC129" s="69"/>
      <c r="AD129" s="69"/>
      <c r="AE129" s="69"/>
    </row>
    <row r="130" spans="1:31" s="48" customFormat="1" ht="11.5" thickTop="1" thickBot="1">
      <c r="A130" s="11" t="s">
        <v>74</v>
      </c>
      <c r="B130" s="301" t="str">
        <f t="shared" ref="B130" ca="1" si="107">IF(OR(LEFT(B116,2)="un",LEFT(B116,1)="(",B129&lt;&gt;0,B143&lt;&gt;0, B116="",B117&gt;NOW()),"","Acct Due")</f>
        <v/>
      </c>
      <c r="C130" s="301" t="str">
        <f t="shared" ref="C130" ca="1" si="108">IF(OR(LEFT(C116,2)="un",LEFT(C116,1)="(",C129&lt;&gt;0,C143&lt;&gt;0, C116="",C117&gt;NOW()),"","Acct Due")</f>
        <v/>
      </c>
      <c r="D130" s="301" t="str">
        <f t="shared" ref="D130" ca="1" si="109">IF(OR(LEFT(D116,2)="un",LEFT(D116,1)="(",D129&lt;&gt;0,D143&lt;&gt;0, D116="",D117&gt;NOW()),"","Acct Due")</f>
        <v/>
      </c>
      <c r="E130" s="301" t="str">
        <f t="shared" ref="E130" ca="1" si="110">IF(OR(LEFT(E116,2)="un",LEFT(E116,1)="(",E129&lt;&gt;0,E143&lt;&gt;0, E116="",E117&gt;NOW()),"","Acct Due")</f>
        <v/>
      </c>
      <c r="F130" s="454"/>
      <c r="G130" s="291"/>
      <c r="H130" s="600"/>
      <c r="I130" s="608"/>
      <c r="J130" s="608"/>
      <c r="K130" s="608"/>
      <c r="L130" s="602"/>
      <c r="M130" s="600"/>
      <c r="N130" s="600"/>
      <c r="O130" s="600"/>
      <c r="P130" s="600"/>
      <c r="Q130" s="600"/>
      <c r="R130" s="600"/>
      <c r="S130" s="600"/>
      <c r="T130" s="69"/>
      <c r="W130" s="69"/>
      <c r="X130" s="69"/>
      <c r="Y130" s="69"/>
      <c r="Z130" s="69"/>
      <c r="AA130" s="69"/>
      <c r="AB130" s="69"/>
      <c r="AC130" s="69"/>
      <c r="AD130" s="69"/>
      <c r="AE130" s="69"/>
    </row>
    <row r="131" spans="1:31" s="48" customFormat="1" ht="7.5" thickTop="1">
      <c r="A131" s="52" t="s">
        <v>39</v>
      </c>
      <c r="B131" s="346"/>
      <c r="C131" s="344"/>
      <c r="D131" s="344"/>
      <c r="E131" s="344"/>
      <c r="F131" s="452"/>
      <c r="G131" s="69"/>
      <c r="H131" s="600"/>
      <c r="I131" s="608"/>
      <c r="J131" s="608"/>
      <c r="K131" s="608"/>
      <c r="L131" s="602"/>
      <c r="M131" s="600"/>
      <c r="N131" s="600"/>
      <c r="O131" s="600"/>
      <c r="P131" s="600"/>
      <c r="Q131" s="600"/>
      <c r="R131" s="600"/>
      <c r="S131" s="600"/>
      <c r="T131" s="69"/>
      <c r="U131" s="54">
        <f t="shared" ref="U131:U136" si="111">SUM(20:20)+SUM(57:57)+SUM(94:94)+SUM(B131:E131)</f>
        <v>476.72</v>
      </c>
      <c r="W131" s="69"/>
      <c r="X131" s="69"/>
      <c r="Y131" s="69"/>
      <c r="Z131" s="69"/>
      <c r="AA131" s="69"/>
      <c r="AB131" s="69"/>
      <c r="AC131" s="69"/>
      <c r="AD131" s="69"/>
      <c r="AE131" s="69"/>
    </row>
    <row r="132" spans="1:31" s="48" customFormat="1">
      <c r="A132" s="55" t="s">
        <v>40</v>
      </c>
      <c r="B132" s="349"/>
      <c r="C132" s="347"/>
      <c r="D132" s="347"/>
      <c r="E132" s="347"/>
      <c r="F132" s="452"/>
      <c r="G132" s="69"/>
      <c r="H132" s="600"/>
      <c r="I132" s="608"/>
      <c r="J132" s="608"/>
      <c r="K132" s="608"/>
      <c r="L132" s="602"/>
      <c r="M132" s="600"/>
      <c r="N132" s="600"/>
      <c r="O132" s="600"/>
      <c r="P132" s="600"/>
      <c r="Q132" s="600"/>
      <c r="R132" s="600"/>
      <c r="S132" s="600"/>
      <c r="T132" s="69"/>
      <c r="U132" s="56">
        <f t="shared" si="111"/>
        <v>533.61</v>
      </c>
      <c r="W132" s="69"/>
      <c r="X132" s="69"/>
      <c r="Y132" s="69"/>
      <c r="Z132" s="69"/>
      <c r="AA132" s="69"/>
      <c r="AB132" s="69"/>
      <c r="AC132" s="69"/>
      <c r="AD132" s="69"/>
      <c r="AE132" s="69"/>
    </row>
    <row r="133" spans="1:31" s="48" customFormat="1">
      <c r="A133" s="55" t="s">
        <v>41</v>
      </c>
      <c r="B133" s="349"/>
      <c r="C133" s="347"/>
      <c r="D133" s="347"/>
      <c r="E133" s="347"/>
      <c r="F133" s="452"/>
      <c r="G133" s="69"/>
      <c r="H133" s="600"/>
      <c r="I133" s="608"/>
      <c r="J133" s="608"/>
      <c r="K133" s="608"/>
      <c r="L133" s="602"/>
      <c r="M133" s="600"/>
      <c r="N133" s="600"/>
      <c r="O133" s="600"/>
      <c r="P133" s="600"/>
      <c r="Q133" s="600"/>
      <c r="R133" s="600"/>
      <c r="S133" s="600"/>
      <c r="T133" s="69"/>
      <c r="U133" s="56">
        <f t="shared" si="111"/>
        <v>156.09</v>
      </c>
      <c r="W133" s="69"/>
      <c r="X133" s="69"/>
      <c r="Y133" s="69"/>
      <c r="Z133" s="69"/>
      <c r="AA133" s="69"/>
      <c r="AB133" s="69"/>
      <c r="AC133" s="69"/>
      <c r="AD133" s="69"/>
      <c r="AE133" s="69"/>
    </row>
    <row r="134" spans="1:31" s="48" customFormat="1">
      <c r="A134" s="57" t="s">
        <v>43</v>
      </c>
      <c r="B134" s="101">
        <f>'OTHER COSTS'!BD82</f>
        <v>0</v>
      </c>
      <c r="C134" s="101"/>
      <c r="D134" s="101"/>
      <c r="E134" s="101"/>
      <c r="F134" s="453"/>
      <c r="G134" s="69"/>
      <c r="H134" s="600"/>
      <c r="I134" s="608"/>
      <c r="J134" s="608"/>
      <c r="K134" s="608"/>
      <c r="L134" s="602"/>
      <c r="M134" s="600"/>
      <c r="N134" s="600"/>
      <c r="O134" s="600"/>
      <c r="P134" s="600"/>
      <c r="Q134" s="600"/>
      <c r="R134" s="600"/>
      <c r="S134" s="600"/>
      <c r="T134" s="69"/>
      <c r="U134" s="101">
        <f t="shared" si="111"/>
        <v>91.72</v>
      </c>
      <c r="W134" s="69"/>
      <c r="X134" s="69"/>
      <c r="Y134" s="69"/>
      <c r="Z134" s="69"/>
      <c r="AA134" s="69"/>
      <c r="AB134" s="69"/>
      <c r="AC134" s="69"/>
      <c r="AD134" s="69"/>
      <c r="AE134" s="69"/>
    </row>
    <row r="135" spans="1:31" s="48" customFormat="1">
      <c r="A135" s="92" t="s">
        <v>44</v>
      </c>
      <c r="B135" s="51">
        <f>SUM(B131:B134)</f>
        <v>0</v>
      </c>
      <c r="C135" s="47">
        <f>SUM(C131:C134)</f>
        <v>0</v>
      </c>
      <c r="D135" s="47">
        <f>SUM(D131:D134)</f>
        <v>0</v>
      </c>
      <c r="E135" s="47">
        <f>SUM(E131:E134)</f>
        <v>0</v>
      </c>
      <c r="F135" s="453"/>
      <c r="G135" s="69"/>
      <c r="H135" s="600"/>
      <c r="I135" s="608"/>
      <c r="J135" s="608"/>
      <c r="K135" s="608"/>
      <c r="L135" s="602"/>
      <c r="M135" s="600"/>
      <c r="N135" s="600"/>
      <c r="O135" s="600"/>
      <c r="P135" s="600"/>
      <c r="Q135" s="600"/>
      <c r="R135" s="600"/>
      <c r="S135" s="600"/>
      <c r="T135" s="69"/>
      <c r="U135" s="51">
        <f t="shared" si="111"/>
        <v>1258.1400000000001</v>
      </c>
      <c r="W135" s="69"/>
      <c r="X135" s="69"/>
      <c r="Y135" s="69"/>
      <c r="Z135" s="69"/>
      <c r="AA135" s="69"/>
      <c r="AB135" s="69"/>
      <c r="AC135" s="69"/>
      <c r="AD135" s="69"/>
      <c r="AE135" s="69"/>
    </row>
    <row r="136" spans="1:31" s="48" customFormat="1" ht="7.5" thickBot="1">
      <c r="A136" s="93" t="s">
        <v>88</v>
      </c>
      <c r="B136" s="382"/>
      <c r="C136" s="354"/>
      <c r="D136" s="354"/>
      <c r="E136" s="354"/>
      <c r="F136" s="453"/>
      <c r="G136" s="69"/>
      <c r="H136" s="600"/>
      <c r="I136" s="608"/>
      <c r="J136" s="608"/>
      <c r="K136" s="608"/>
      <c r="L136" s="602"/>
      <c r="M136" s="600"/>
      <c r="N136" s="600"/>
      <c r="O136" s="600"/>
      <c r="P136" s="600"/>
      <c r="Q136" s="600"/>
      <c r="R136" s="600"/>
      <c r="S136" s="600"/>
      <c r="T136" s="69"/>
      <c r="U136" s="241">
        <f t="shared" si="111"/>
        <v>368.45</v>
      </c>
      <c r="W136" s="69"/>
      <c r="X136" s="69"/>
      <c r="Y136" s="69"/>
      <c r="Z136" s="69"/>
      <c r="AA136" s="69"/>
      <c r="AB136" s="69"/>
      <c r="AC136" s="69"/>
      <c r="AD136" s="69"/>
      <c r="AE136" s="69"/>
    </row>
    <row r="137" spans="1:31" s="48" customFormat="1" ht="11.5" thickTop="1" thickBot="1">
      <c r="A137" s="94" t="s">
        <v>75</v>
      </c>
      <c r="B137" s="81"/>
      <c r="C137" s="361" t="str">
        <f>IF(OR(LEFT(C125,2)="un",C134&lt;&gt;0,C150&lt;&gt;0, C125=""),"","Acct Due")</f>
        <v/>
      </c>
      <c r="D137" s="361" t="str">
        <f>IF(OR(LEFT(D125,2)="un",D134&lt;&gt;0,D150&lt;&gt;0, D125=""),"","Acct Due")</f>
        <v/>
      </c>
      <c r="E137" s="361" t="str">
        <f>IF(OR(LEFT(E125,2)="un",E134&lt;&gt;0,E150&lt;&gt;0, E125=""),"","Acct Due")</f>
        <v/>
      </c>
      <c r="F137" s="453"/>
      <c r="G137" s="69"/>
      <c r="H137" s="600"/>
      <c r="I137" s="608"/>
      <c r="J137" s="608"/>
      <c r="K137" s="608"/>
      <c r="L137" s="602"/>
      <c r="M137" s="600"/>
      <c r="N137" s="600"/>
      <c r="O137" s="600"/>
      <c r="P137" s="600"/>
      <c r="Q137" s="600"/>
      <c r="R137" s="600"/>
      <c r="S137" s="600"/>
      <c r="T137" s="69"/>
      <c r="U137" s="116"/>
      <c r="W137" s="69"/>
      <c r="X137" s="69"/>
      <c r="Y137" s="69"/>
      <c r="Z137" s="69"/>
      <c r="AA137" s="69"/>
      <c r="AB137" s="69"/>
      <c r="AC137" s="69"/>
      <c r="AD137" s="69"/>
      <c r="AE137" s="69"/>
    </row>
    <row r="138" spans="1:31" s="48" customFormat="1" ht="7.5" thickTop="1">
      <c r="A138" s="52" t="s">
        <v>49</v>
      </c>
      <c r="B138" s="54">
        <f>MAINTENANCE!BE55</f>
        <v>0</v>
      </c>
      <c r="C138" s="54">
        <f>MAINTENANCE!AN92</f>
        <v>0</v>
      </c>
      <c r="D138" s="54">
        <f>MAINTENANCE!AO92</f>
        <v>0</v>
      </c>
      <c r="E138" s="54">
        <f>MAINTENANCE!AP92</f>
        <v>0</v>
      </c>
      <c r="F138" s="453"/>
      <c r="G138" s="69"/>
      <c r="H138" s="600"/>
      <c r="I138" s="608"/>
      <c r="J138" s="608"/>
      <c r="K138" s="608"/>
      <c r="L138" s="602"/>
      <c r="M138" s="600"/>
      <c r="N138" s="600"/>
      <c r="O138" s="600"/>
      <c r="P138" s="600"/>
      <c r="Q138" s="600"/>
      <c r="R138" s="600"/>
      <c r="S138" s="600"/>
      <c r="T138" s="69"/>
      <c r="U138" s="54">
        <f t="shared" ref="U138:U143" si="112">SUM(27:27)+SUM(64:64)+SUM(101:101)+SUM(B138:E138)</f>
        <v>842.44999999999993</v>
      </c>
      <c r="W138" s="69"/>
      <c r="X138" s="69"/>
      <c r="Y138" s="69"/>
      <c r="Z138" s="69"/>
      <c r="AA138" s="69"/>
      <c r="AB138" s="69"/>
      <c r="AC138" s="69"/>
      <c r="AD138" s="69"/>
      <c r="AE138" s="69"/>
    </row>
    <row r="139" spans="1:31" s="48" customFormat="1">
      <c r="A139" s="55" t="s">
        <v>125</v>
      </c>
      <c r="B139" s="56">
        <f>'OTHER COSTS'!BD41+'OTHER COSTS'!BD48</f>
        <v>0</v>
      </c>
      <c r="C139" s="74">
        <f>'OTHER COSTS'!AM86+'OTHER COSTS'!AM93</f>
        <v>0</v>
      </c>
      <c r="D139" s="74">
        <f>'OTHER COSTS'!AN86+'OTHER COSTS'!AN93</f>
        <v>0</v>
      </c>
      <c r="E139" s="74">
        <f>'OTHER COSTS'!AO86+'OTHER COSTS'!AO93</f>
        <v>0</v>
      </c>
      <c r="F139" s="453"/>
      <c r="G139" s="69"/>
      <c r="H139" s="600"/>
      <c r="I139" s="608"/>
      <c r="J139" s="608"/>
      <c r="K139" s="608"/>
      <c r="L139" s="602"/>
      <c r="M139" s="600"/>
      <c r="N139" s="600"/>
      <c r="O139" s="600"/>
      <c r="P139" s="600"/>
      <c r="Q139" s="600"/>
      <c r="R139" s="600"/>
      <c r="S139" s="600"/>
      <c r="T139" s="69"/>
      <c r="U139" s="56">
        <f t="shared" si="112"/>
        <v>105.30999999999999</v>
      </c>
      <c r="W139" s="69"/>
      <c r="X139" s="69"/>
      <c r="Y139" s="69"/>
      <c r="Z139" s="69"/>
      <c r="AA139" s="69"/>
      <c r="AB139" s="69"/>
      <c r="AC139" s="69"/>
      <c r="AD139" s="69"/>
      <c r="AE139" s="69"/>
    </row>
    <row r="140" spans="1:31" s="48" customFormat="1">
      <c r="A140" s="55" t="s">
        <v>80</v>
      </c>
      <c r="B140" s="56">
        <f>'OTHER COSTS'!BD59</f>
        <v>0</v>
      </c>
      <c r="C140" s="56">
        <f>'OTHER COSTS'!AM104</f>
        <v>0</v>
      </c>
      <c r="D140" s="56">
        <f>'OTHER COSTS'!AN104</f>
        <v>0</v>
      </c>
      <c r="E140" s="56">
        <f>'OTHER COSTS'!AO104</f>
        <v>0</v>
      </c>
      <c r="F140" s="453"/>
      <c r="G140" s="69"/>
      <c r="H140" s="600"/>
      <c r="I140" s="608"/>
      <c r="J140" s="608"/>
      <c r="K140" s="608"/>
      <c r="L140" s="602"/>
      <c r="M140" s="600"/>
      <c r="N140" s="600"/>
      <c r="O140" s="600"/>
      <c r="P140" s="600"/>
      <c r="Q140" s="600"/>
      <c r="R140" s="600"/>
      <c r="S140" s="600"/>
      <c r="T140" s="69"/>
      <c r="U140" s="45">
        <f t="shared" si="112"/>
        <v>9179.2800000000007</v>
      </c>
      <c r="W140" s="69"/>
      <c r="X140" s="69"/>
      <c r="Y140" s="69"/>
      <c r="Z140" s="69"/>
      <c r="AA140" s="69"/>
      <c r="AB140" s="69"/>
      <c r="AC140" s="69"/>
      <c r="AD140" s="69"/>
      <c r="AE140" s="69"/>
    </row>
    <row r="141" spans="1:31" s="48" customFormat="1">
      <c r="A141" s="57" t="s">
        <v>51</v>
      </c>
      <c r="B141" s="357"/>
      <c r="C141" s="355"/>
      <c r="D141" s="355"/>
      <c r="E141" s="355"/>
      <c r="F141" s="452"/>
      <c r="G141" s="69"/>
      <c r="H141" s="600"/>
      <c r="I141" s="608"/>
      <c r="J141" s="608"/>
      <c r="K141" s="608"/>
      <c r="L141" s="602"/>
      <c r="M141" s="600"/>
      <c r="N141" s="600"/>
      <c r="O141" s="600"/>
      <c r="P141" s="600"/>
      <c r="Q141" s="600"/>
      <c r="R141" s="600"/>
      <c r="S141" s="600"/>
      <c r="T141" s="69"/>
      <c r="U141" s="251">
        <f t="shared" si="112"/>
        <v>2779.42</v>
      </c>
      <c r="W141" s="69"/>
      <c r="X141" s="69"/>
      <c r="Y141" s="69"/>
      <c r="Z141" s="69"/>
      <c r="AA141" s="69"/>
      <c r="AB141" s="69"/>
      <c r="AC141" s="69"/>
      <c r="AD141" s="69"/>
      <c r="AE141" s="69"/>
    </row>
    <row r="142" spans="1:31" s="48" customFormat="1" ht="7.5" thickBot="1">
      <c r="A142" s="92" t="s">
        <v>76</v>
      </c>
      <c r="B142" s="51">
        <f>SUM(B138:B141)</f>
        <v>0</v>
      </c>
      <c r="C142" s="47">
        <f>SUM(C138:C141)</f>
        <v>0</v>
      </c>
      <c r="D142" s="47">
        <f>SUM(D138:D141)</f>
        <v>0</v>
      </c>
      <c r="E142" s="47">
        <f>SUM(E138:E141)</f>
        <v>0</v>
      </c>
      <c r="F142" s="453"/>
      <c r="G142" s="69"/>
      <c r="H142" s="600"/>
      <c r="I142" s="608"/>
      <c r="J142" s="608"/>
      <c r="K142" s="608"/>
      <c r="L142" s="602"/>
      <c r="M142" s="600"/>
      <c r="N142" s="600"/>
      <c r="O142" s="600"/>
      <c r="P142" s="600"/>
      <c r="Q142" s="600"/>
      <c r="R142" s="600"/>
      <c r="S142" s="600"/>
      <c r="T142" s="69"/>
      <c r="U142" s="28">
        <f t="shared" si="112"/>
        <v>12906.460000000001</v>
      </c>
      <c r="W142" s="69"/>
      <c r="X142" s="69"/>
      <c r="Y142" s="69"/>
      <c r="Z142" s="69"/>
      <c r="AA142" s="69"/>
      <c r="AB142" s="69"/>
      <c r="AC142" s="69"/>
      <c r="AD142" s="69"/>
      <c r="AE142" s="69"/>
    </row>
    <row r="143" spans="1:31" s="48" customFormat="1" ht="11.5" thickTop="1" thickBot="1">
      <c r="A143" s="299" t="s">
        <v>55</v>
      </c>
      <c r="B143" s="54">
        <f>SUM(B136:B141)+B135</f>
        <v>0</v>
      </c>
      <c r="C143" s="85">
        <f>SUM(C136:C141)+C135</f>
        <v>0</v>
      </c>
      <c r="D143" s="85">
        <f>SUM(D136:D141)+D135</f>
        <v>0</v>
      </c>
      <c r="E143" s="85">
        <f>SUM(E136:E141)+E135</f>
        <v>0</v>
      </c>
      <c r="F143" s="453"/>
      <c r="G143" s="69"/>
      <c r="H143" s="600"/>
      <c r="I143" s="608"/>
      <c r="J143" s="608"/>
      <c r="K143" s="608"/>
      <c r="L143" s="602"/>
      <c r="M143" s="600"/>
      <c r="N143" s="600"/>
      <c r="O143" s="600"/>
      <c r="P143" s="600"/>
      <c r="Q143" s="600"/>
      <c r="R143" s="600"/>
      <c r="S143" s="600"/>
      <c r="T143" s="69"/>
      <c r="U143" s="252">
        <f t="shared" si="112"/>
        <v>14533.050000000001</v>
      </c>
      <c r="W143" s="69"/>
      <c r="X143" s="69"/>
      <c r="Y143" s="69"/>
      <c r="Z143" s="69"/>
      <c r="AA143" s="69"/>
      <c r="AB143" s="69"/>
      <c r="AC143" s="69"/>
      <c r="AD143" s="69"/>
      <c r="AE143" s="69"/>
    </row>
    <row r="144" spans="1:31" s="48" customFormat="1" ht="8" thickTop="1" thickBot="1">
      <c r="A144" s="303" t="s">
        <v>131</v>
      </c>
      <c r="B144" s="307">
        <f>B129-B143</f>
        <v>0</v>
      </c>
      <c r="C144" s="304">
        <f>C129-C143</f>
        <v>0</v>
      </c>
      <c r="D144" s="304">
        <f>D129-D143</f>
        <v>0</v>
      </c>
      <c r="E144" s="304">
        <f>E129-E143</f>
        <v>0</v>
      </c>
      <c r="F144" s="455"/>
      <c r="G144" s="116"/>
      <c r="H144" s="601"/>
      <c r="I144" s="602"/>
      <c r="J144" s="602"/>
      <c r="K144" s="602"/>
      <c r="L144" s="603"/>
      <c r="M144" s="453"/>
      <c r="N144" s="453"/>
      <c r="O144" s="453"/>
      <c r="P144" s="453"/>
      <c r="Q144" s="453"/>
      <c r="R144" s="453"/>
      <c r="S144" s="453"/>
      <c r="T144" s="69"/>
      <c r="U144" s="525">
        <f>SUM(M144:S144)</f>
        <v>0</v>
      </c>
      <c r="W144" s="69"/>
      <c r="X144" s="69"/>
      <c r="Y144" s="69"/>
      <c r="Z144" s="69"/>
      <c r="AA144" s="69"/>
      <c r="AB144" s="69"/>
      <c r="AC144" s="69"/>
      <c r="AD144" s="69"/>
      <c r="AE144" s="69"/>
    </row>
    <row r="145" spans="1:31" s="48" customFormat="1" ht="8" thickTop="1" thickBot="1">
      <c r="A145" s="96" t="s">
        <v>130</v>
      </c>
      <c r="B145" s="472" t="str">
        <f>IF(B144=0,"","post bal.")</f>
        <v/>
      </c>
      <c r="C145" s="358" t="str">
        <f>IF(C144=0,"","post bal.")</f>
        <v/>
      </c>
      <c r="D145" s="358" t="str">
        <f>IF(D144=0,"","post bal.")</f>
        <v/>
      </c>
      <c r="E145" s="358" t="str">
        <f>IF(E144=0,"","post bal.")</f>
        <v/>
      </c>
      <c r="F145" s="456"/>
      <c r="G145" s="290"/>
      <c r="H145" s="601"/>
      <c r="I145" s="601"/>
      <c r="J145" s="601"/>
      <c r="K145" s="601"/>
      <c r="L145" s="604"/>
      <c r="M145" s="605"/>
      <c r="N145" s="606"/>
      <c r="O145" s="606"/>
      <c r="P145" s="606"/>
      <c r="Q145" s="606"/>
      <c r="R145" s="606"/>
      <c r="S145" s="606"/>
      <c r="T145" s="69"/>
      <c r="U145" s="210"/>
      <c r="W145" s="69"/>
      <c r="X145" s="69"/>
      <c r="Y145" s="69"/>
      <c r="Z145" s="69"/>
      <c r="AA145" s="69"/>
      <c r="AB145" s="69"/>
      <c r="AC145" s="69"/>
      <c r="AD145" s="69"/>
      <c r="AE145" s="69"/>
    </row>
    <row r="146" spans="1:31" s="266" customFormat="1" ht="9.75" hidden="1" customHeight="1" thickTop="1" thickBot="1">
      <c r="A146" s="265" t="s">
        <v>116</v>
      </c>
      <c r="B146" s="268">
        <f>IF(B145="post bal.",B144,0)</f>
        <v>0</v>
      </c>
      <c r="C146" s="268">
        <f>IF(C145="post bal.",C144,0)</f>
        <v>0</v>
      </c>
      <c r="D146" s="268">
        <f>IF(D145="post bal.",D144,0)</f>
        <v>0</v>
      </c>
      <c r="E146" s="268">
        <f>IF(E145="post bal.",E144,0)</f>
        <v>0</v>
      </c>
      <c r="F146" s="268">
        <f>IF(F145="post bal.",F144,0)</f>
        <v>0</v>
      </c>
      <c r="G146" s="268"/>
      <c r="H146" s="268"/>
      <c r="I146" s="268"/>
      <c r="J146" s="268"/>
      <c r="L146" s="268"/>
      <c r="M146" s="268">
        <f t="shared" ref="M146:S146" si="113">IF(M145="post bal.",M144,0)</f>
        <v>0</v>
      </c>
      <c r="N146" s="268">
        <f t="shared" si="113"/>
        <v>0</v>
      </c>
      <c r="O146" s="268">
        <f t="shared" si="113"/>
        <v>0</v>
      </c>
      <c r="P146" s="268">
        <f t="shared" si="113"/>
        <v>0</v>
      </c>
      <c r="Q146" s="268">
        <f t="shared" si="113"/>
        <v>0</v>
      </c>
      <c r="R146" s="268">
        <f t="shared" si="113"/>
        <v>0</v>
      </c>
      <c r="S146" s="268">
        <f t="shared" si="113"/>
        <v>0</v>
      </c>
      <c r="U146" s="266">
        <f>SUM(35:35)+SUM(72:72)+SUM(109:109)+SUM(B146:T146)</f>
        <v>227.41</v>
      </c>
      <c r="W146" s="267"/>
      <c r="X146" s="267"/>
      <c r="Y146" s="267"/>
      <c r="Z146" s="267"/>
      <c r="AA146" s="267"/>
      <c r="AB146" s="267"/>
      <c r="AC146" s="267"/>
      <c r="AD146" s="267"/>
      <c r="AE146" s="267"/>
    </row>
    <row r="147" spans="1:31" s="266" customFormat="1" ht="9.75" hidden="1" customHeight="1" thickTop="1" thickBot="1">
      <c r="A147" s="270" t="s">
        <v>117</v>
      </c>
      <c r="B147" s="266">
        <f>IF(B116="Insurance",B141,0)</f>
        <v>0</v>
      </c>
      <c r="C147" s="266">
        <f>IF(C116="Insurance",C141,0)</f>
        <v>0</v>
      </c>
      <c r="D147" s="266">
        <f>IF(D116="Insurance",D141,0)</f>
        <v>0</v>
      </c>
      <c r="E147" s="266">
        <f>IF(E116="Insurance",E141,0)</f>
        <v>0</v>
      </c>
      <c r="F147" s="266">
        <f>IF(F116="Insurance",F141,0)</f>
        <v>0</v>
      </c>
      <c r="H147" s="266">
        <f>IF(H115="Insurance",H141,0)</f>
        <v>0</v>
      </c>
      <c r="I147" s="266">
        <f>IF(I115="Insurance",I141,0)</f>
        <v>0</v>
      </c>
      <c r="J147" s="266">
        <f>IF(J115="Insurance",J141,0)</f>
        <v>0</v>
      </c>
      <c r="M147" s="266">
        <f>IF(M115="Insurance",M141,0)</f>
        <v>0</v>
      </c>
      <c r="N147" s="266">
        <f>IF(N115="Insurance",N141,0)</f>
        <v>0</v>
      </c>
      <c r="O147" s="266">
        <f>IF(O115="Insurance",O141,0)</f>
        <v>0</v>
      </c>
      <c r="Q147" s="266">
        <f>IF(Q115="Insurance",Q141,0)</f>
        <v>0</v>
      </c>
      <c r="R147" s="266">
        <f>IF(R115="Insurance",R141,0)</f>
        <v>0</v>
      </c>
      <c r="S147" s="266">
        <f>IF(S115="Insurance",S141,0)</f>
        <v>0</v>
      </c>
      <c r="U147" s="277">
        <f>SUM(36:36)+SUM(73:73)+SUM(110:110)+SUM(B147:E147)</f>
        <v>272.91000000000003</v>
      </c>
      <c r="W147" s="267"/>
      <c r="X147" s="267"/>
      <c r="Y147" s="267"/>
      <c r="Z147" s="267"/>
      <c r="AA147" s="267"/>
      <c r="AB147" s="267"/>
      <c r="AC147" s="267"/>
      <c r="AD147" s="267"/>
      <c r="AE147" s="267"/>
    </row>
    <row r="148" spans="1:31" s="266" customFormat="1" ht="9.75" hidden="1" customHeight="1" thickTop="1" thickBot="1">
      <c r="A148" s="270" t="s">
        <v>118</v>
      </c>
      <c r="B148" s="266">
        <f>IF(B116="Mooring",B142,0)</f>
        <v>0</v>
      </c>
      <c r="C148" s="266">
        <f>IF(C116="Mooring",C142,0)</f>
        <v>0</v>
      </c>
      <c r="D148" s="266">
        <f>IF(D116="Mooring",D142,0)</f>
        <v>0</v>
      </c>
      <c r="E148" s="266">
        <f>IF(E116="Mooring",E142,0)</f>
        <v>0</v>
      </c>
      <c r="F148" s="266">
        <f>IF(F116="Mooring",F142,0)</f>
        <v>0</v>
      </c>
      <c r="H148" s="266">
        <f>IF(H115="Mooring",#REF!,0)</f>
        <v>0</v>
      </c>
      <c r="I148" s="266">
        <f>IF(I115="Mooring",#REF!,0)</f>
        <v>0</v>
      </c>
      <c r="J148" s="266">
        <f>IF(J115="Mooring",#REF!,0)</f>
        <v>0</v>
      </c>
      <c r="M148" s="266">
        <f>IF(M115="Mooring",#REF!,0)</f>
        <v>0</v>
      </c>
      <c r="N148" s="266">
        <f>IF(N115="Mooring",#REF!,0)</f>
        <v>0</v>
      </c>
      <c r="O148" s="266">
        <f>IF(O115="Mooring",#REF!,0)</f>
        <v>0</v>
      </c>
      <c r="Q148" s="266">
        <f>IF(Q115="Mooring",#REF!,0)</f>
        <v>0</v>
      </c>
      <c r="R148" s="266">
        <f>IF(R115="Mooring",#REF!,0)</f>
        <v>0</v>
      </c>
      <c r="S148" s="266">
        <f>IF(S115="Mooring",#REF!,0)</f>
        <v>0</v>
      </c>
      <c r="U148" s="277">
        <f>SUM(37:37)+SUM(74:74)+SUM(111:111)+SUM(B148:E148)</f>
        <v>795.62</v>
      </c>
      <c r="W148" s="267"/>
      <c r="X148" s="267"/>
      <c r="Y148" s="267"/>
      <c r="Z148" s="267"/>
      <c r="AA148" s="267"/>
      <c r="AB148" s="267"/>
      <c r="AC148" s="267"/>
      <c r="AD148" s="267"/>
      <c r="AE148" s="267"/>
    </row>
    <row r="149" spans="1:31" s="266" customFormat="1" ht="9.75" hidden="1" customHeight="1" thickTop="1" thickBot="1">
      <c r="A149" s="270" t="s">
        <v>119</v>
      </c>
      <c r="B149" s="266">
        <f>IF(B116="Licence",B143,0)</f>
        <v>0</v>
      </c>
      <c r="C149" s="266">
        <f>IF(C116="Licence",C143,0)</f>
        <v>0</v>
      </c>
      <c r="D149" s="266">
        <f>IF(D116="Licence",D143,0)</f>
        <v>0</v>
      </c>
      <c r="E149" s="266">
        <f>IF(E116="Licence",E143,0)</f>
        <v>0</v>
      </c>
      <c r="F149" s="266">
        <f>IF(F116="Licence",F143,0)</f>
        <v>0</v>
      </c>
      <c r="H149" s="266">
        <f>IF(H115="Licence",#REF!,0)</f>
        <v>0</v>
      </c>
      <c r="I149" s="266">
        <f>IF(I115="Licence",#REF!,0)</f>
        <v>0</v>
      </c>
      <c r="J149" s="266">
        <f>IF(J115="Licence",#REF!,0)</f>
        <v>0</v>
      </c>
      <c r="M149" s="266">
        <f>IF(M115="Licence",#REF!,0)</f>
        <v>0</v>
      </c>
      <c r="N149" s="266">
        <f>IF(N115="Licence",#REF!,0)</f>
        <v>0</v>
      </c>
      <c r="O149" s="266">
        <f>IF(O115="Licence",#REF!,0)</f>
        <v>0</v>
      </c>
      <c r="Q149" s="266">
        <f>IF(Q115="Licence",#REF!,0)</f>
        <v>0</v>
      </c>
      <c r="R149" s="266">
        <f>IF(R115="Licence",#REF!,0)</f>
        <v>0</v>
      </c>
      <c r="S149" s="266">
        <f>IF(S115="Licence",#REF!,0)</f>
        <v>0</v>
      </c>
      <c r="U149" s="277">
        <f>SUM(38:38)+SUM(75:75)+SUM(112:112)+SUM(B149:E149)</f>
        <v>1125.8900000000001</v>
      </c>
      <c r="W149" s="267"/>
      <c r="X149" s="267"/>
      <c r="Y149" s="267"/>
      <c r="Z149" s="267"/>
      <c r="AA149" s="267"/>
      <c r="AB149" s="267"/>
      <c r="AC149" s="267"/>
      <c r="AD149" s="267"/>
      <c r="AE149" s="267"/>
    </row>
    <row r="150" spans="1:31" s="279" customFormat="1" ht="9.75" hidden="1" customHeight="1" thickTop="1" thickBot="1">
      <c r="A150" s="278" t="s">
        <v>120</v>
      </c>
      <c r="B150" s="279">
        <f>B141-SUM(B147:B149)</f>
        <v>0</v>
      </c>
      <c r="C150" s="279">
        <f>C141-SUM(C147:C149)</f>
        <v>0</v>
      </c>
      <c r="D150" s="279">
        <f>D141-SUM(D147:D149)</f>
        <v>0</v>
      </c>
      <c r="E150" s="279">
        <f t="shared" ref="E150:J150" si="114">E141-SUM(E147:E149)</f>
        <v>0</v>
      </c>
      <c r="F150" s="279">
        <f t="shared" si="114"/>
        <v>0</v>
      </c>
      <c r="H150" s="279">
        <f t="shared" si="114"/>
        <v>0</v>
      </c>
      <c r="I150" s="279">
        <f t="shared" si="114"/>
        <v>0</v>
      </c>
      <c r="J150" s="279">
        <f t="shared" si="114"/>
        <v>0</v>
      </c>
      <c r="M150" s="279">
        <f t="shared" ref="M150:S150" si="115">M141-SUM(M147:M149)</f>
        <v>0</v>
      </c>
      <c r="N150" s="279">
        <f t="shared" si="115"/>
        <v>0</v>
      </c>
      <c r="O150" s="279">
        <f t="shared" si="115"/>
        <v>0</v>
      </c>
      <c r="Q150" s="279">
        <f t="shared" si="115"/>
        <v>0</v>
      </c>
      <c r="R150" s="279">
        <f t="shared" si="115"/>
        <v>0</v>
      </c>
      <c r="S150" s="279">
        <f t="shared" si="115"/>
        <v>0</v>
      </c>
      <c r="U150" s="279">
        <f>SUM(39:39)+SUM(76:76)+SUM(113:113)+SUM(B150:E150)</f>
        <v>585</v>
      </c>
    </row>
    <row r="151" spans="1:31" s="48" customFormat="1" ht="7.5" thickTop="1">
      <c r="B151" s="1"/>
      <c r="C151" s="1"/>
      <c r="D151" s="1"/>
      <c r="E151" s="1"/>
      <c r="F151" s="1"/>
      <c r="G151" s="1"/>
      <c r="H151" s="1"/>
      <c r="I151" s="1"/>
      <c r="W151" s="69"/>
      <c r="X151" s="69"/>
      <c r="Y151" s="69"/>
      <c r="Z151" s="69"/>
      <c r="AA151" s="69"/>
      <c r="AB151" s="69"/>
      <c r="AC151" s="69"/>
      <c r="AD151" s="69"/>
      <c r="AE151" s="69"/>
    </row>
    <row r="152" spans="1:31" s="48" customFormat="1">
      <c r="S152" s="48">
        <f>+SUM(I152:Q152)</f>
        <v>0</v>
      </c>
      <c r="W152" s="69"/>
      <c r="X152" s="69"/>
      <c r="Y152" s="69"/>
      <c r="Z152" s="69"/>
      <c r="AA152" s="69"/>
      <c r="AB152" s="69"/>
      <c r="AC152" s="69"/>
      <c r="AD152" s="69"/>
      <c r="AE152" s="69"/>
    </row>
    <row r="153" spans="1:31" s="48" customFormat="1">
      <c r="S153" s="48">
        <f>SUM(J153:Q153)</f>
        <v>0</v>
      </c>
      <c r="W153" s="69"/>
      <c r="X153" s="69"/>
      <c r="Y153" s="69"/>
      <c r="Z153" s="69"/>
      <c r="AA153" s="69"/>
      <c r="AB153" s="69"/>
      <c r="AC153" s="69"/>
      <c r="AD153" s="69"/>
      <c r="AE153" s="69"/>
    </row>
    <row r="154" spans="1:31" s="48" customFormat="1">
      <c r="W154" s="69"/>
      <c r="X154" s="69"/>
      <c r="Y154" s="69"/>
      <c r="Z154" s="69"/>
      <c r="AA154" s="69"/>
      <c r="AB154" s="69"/>
      <c r="AC154" s="69"/>
      <c r="AD154" s="69"/>
      <c r="AE154" s="69"/>
    </row>
    <row r="155" spans="1:31" s="48" customFormat="1">
      <c r="W155" s="69"/>
      <c r="X155" s="69"/>
      <c r="Y155" s="69"/>
      <c r="Z155" s="69"/>
      <c r="AA155" s="69"/>
      <c r="AB155" s="69"/>
      <c r="AC155" s="69"/>
      <c r="AD155" s="69"/>
      <c r="AE155" s="69"/>
    </row>
    <row r="156" spans="1:31" s="48" customFormat="1">
      <c r="W156" s="69"/>
      <c r="X156" s="69"/>
      <c r="Y156" s="69"/>
      <c r="Z156" s="69"/>
      <c r="AA156" s="69"/>
      <c r="AB156" s="69"/>
      <c r="AC156" s="69"/>
      <c r="AD156" s="69"/>
      <c r="AE156" s="69"/>
    </row>
  </sheetData>
  <sheetProtection sheet="1" objects="1" scenarios="1"/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T90"/>
  <sheetViews>
    <sheetView showZeros="0" workbookViewId="0">
      <pane xSplit="2" ySplit="4" topLeftCell="C5" activePane="bottomRight" state="frozen"/>
      <selection activeCell="R6" sqref="R6"/>
      <selection pane="topRight" activeCell="R6" sqref="R6"/>
      <selection pane="bottomLeft" activeCell="R6" sqref="R6"/>
      <selection pane="bottomRight" activeCell="BX2" sqref="BX2"/>
    </sheetView>
  </sheetViews>
  <sheetFormatPr defaultRowHeight="7"/>
  <cols>
    <col min="1" max="1" width="3.33203125" style="533" customWidth="1"/>
    <col min="2" max="2" width="77.6640625" style="123" customWidth="1"/>
    <col min="3" max="11" width="11" hidden="1" customWidth="1"/>
    <col min="12" max="12" width="11" customWidth="1"/>
    <col min="13" max="13" width="11" hidden="1" customWidth="1"/>
    <col min="14" max="14" width="11" customWidth="1"/>
    <col min="15" max="16" width="11" hidden="1" customWidth="1"/>
    <col min="17" max="17" width="11" customWidth="1"/>
    <col min="18" max="25" width="11" hidden="1" customWidth="1"/>
    <col min="26" max="26" width="11" customWidth="1"/>
    <col min="27" max="32" width="11" hidden="1" customWidth="1"/>
    <col min="33" max="33" width="11" customWidth="1"/>
    <col min="34" max="68" width="11" hidden="1" customWidth="1"/>
    <col min="69" max="69" width="11" style="126" customWidth="1"/>
    <col min="70" max="70" width="6.6640625" style="126" customWidth="1"/>
    <col min="71" max="71" width="9.6640625" style="126" customWidth="1"/>
  </cols>
  <sheetData>
    <row r="1" spans="1:72" s="1" customFormat="1" ht="32.5">
      <c r="A1" s="532"/>
      <c r="B1" s="888" t="str">
        <f>Summary!$A$2</f>
        <v>OLYMPIC ACCOUNTS</v>
      </c>
      <c r="AO1" s="70"/>
      <c r="AP1" s="70"/>
      <c r="AQ1" s="70"/>
      <c r="BR1" s="244" t="str">
        <f ca="1">Summary!$T$2</f>
        <v>06 February 2022</v>
      </c>
      <c r="BS1" s="70"/>
    </row>
    <row r="2" spans="1:72" s="1" customFormat="1" ht="35.5" thickBot="1">
      <c r="A2" s="532"/>
      <c r="B2" s="219" t="s">
        <v>101</v>
      </c>
      <c r="N2" s="503"/>
      <c r="S2" s="220"/>
      <c r="AO2" s="70"/>
      <c r="AP2" s="70"/>
      <c r="AQ2" s="70"/>
      <c r="BS2" s="70"/>
    </row>
    <row r="3" spans="1:72" ht="11.5" thickTop="1" thickBot="1">
      <c r="A3" s="532"/>
      <c r="B3" s="333" t="s">
        <v>49</v>
      </c>
      <c r="C3" s="284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Swanley</v>
      </c>
      <c r="G3" s="13" t="str">
        <f>TRIP_ACCOUNTS!F$5</f>
        <v>Allen-Mead</v>
      </c>
      <c r="H3" s="13" t="str">
        <f>TRIP_ACCOUNTS!G$5</f>
        <v>Swanley</v>
      </c>
      <c r="I3" s="13" t="str">
        <f>TRIP_ACCOUNTS!H$5</f>
        <v>Allen-Mead</v>
      </c>
      <c r="J3" s="13" t="str">
        <f>TRIP_ACCOUNTS!I$5</f>
        <v>Swanley</v>
      </c>
      <c r="K3" s="13" t="str">
        <f>TRIP_ACCOUNTS!J$5</f>
        <v>Allen-Mead</v>
      </c>
      <c r="L3" s="13" t="str">
        <f>TRIP_ACCOUNTS!K$5</f>
        <v>PB</v>
      </c>
      <c r="M3" s="13" t="str">
        <f>TRIP_ACCOUNTS!L$5</f>
        <v>PB</v>
      </c>
      <c r="N3" s="13" t="str">
        <f>TRIP_ACCOUNTS!M$5</f>
        <v>Atlass</v>
      </c>
      <c r="O3" s="13" t="str">
        <f>TRIP_ACCOUNTS!N$5</f>
        <v>DK</v>
      </c>
      <c r="P3" s="13" t="str">
        <f>TRIP_ACCOUNTS!O$5</f>
        <v>Atlass</v>
      </c>
      <c r="Q3" s="13" t="str">
        <f>TRIP_ACCOUNTS!P$5</f>
        <v>Kee</v>
      </c>
      <c r="R3" s="13" t="str">
        <f>TRIP_ACCOUNTS!Q$5</f>
        <v>Kee</v>
      </c>
      <c r="S3" s="13" t="str">
        <f>TRIP_ACCOUNTS!R$5</f>
        <v>Atlass</v>
      </c>
      <c r="T3" s="13" t="str">
        <f>TRIP_ACCOUNTS!S$5</f>
        <v>Fisher</v>
      </c>
      <c r="U3" s="13" t="str">
        <f>TRIP_ACCOUNTS!B42</f>
        <v>unscheduled</v>
      </c>
      <c r="V3" s="13" t="str">
        <f>TRIP_ACCOUNTS!C42</f>
        <v>unscheduled</v>
      </c>
      <c r="W3" s="13" t="str">
        <f>TRIP_ACCOUNTS!D42</f>
        <v>Brohi</v>
      </c>
      <c r="X3" s="13" t="str">
        <f>TRIP_ACCOUNTS!E42</f>
        <v>unscheduled</v>
      </c>
      <c r="Y3" s="13" t="str">
        <f>TRIP_ACCOUNTS!F42</f>
        <v>unscheduled</v>
      </c>
      <c r="Z3" s="13" t="str">
        <f>TRIP_ACCOUNTS!G42</f>
        <v>PB</v>
      </c>
      <c r="AA3" s="13" t="str">
        <f>TRIP_ACCOUNTS!H42</f>
        <v>unscheduled</v>
      </c>
      <c r="AB3" s="13" t="str">
        <f>TRIP_ACCOUNTS!I42</f>
        <v>unscheduled</v>
      </c>
      <c r="AC3" s="13" t="str">
        <f>TRIP_ACCOUNTS!J42</f>
        <v>PB</v>
      </c>
      <c r="AD3" s="13" t="str">
        <f>TRIP_ACCOUNTS!K42</f>
        <v>Atlass</v>
      </c>
      <c r="AE3" s="13" t="str">
        <f>TRIP_ACCOUNTS!L42</f>
        <v>Derbyshire</v>
      </c>
      <c r="AF3" s="13" t="str">
        <f>TRIP_ACCOUNTS!M42</f>
        <v>James</v>
      </c>
      <c r="AG3" s="13" t="str">
        <f>TRIP_ACCOUNTS!N42</f>
        <v>Martin</v>
      </c>
      <c r="AH3" s="13" t="str">
        <f>TRIP_ACCOUNTS!O42</f>
        <v>unscheduled</v>
      </c>
      <c r="AI3" s="13" t="str">
        <f>TRIP_ACCOUNTS!P42</f>
        <v>(DA/HA)</v>
      </c>
      <c r="AJ3" s="13" t="str">
        <f>TRIP_ACCOUNTS!Q42</f>
        <v>Brough</v>
      </c>
      <c r="AK3" s="13" t="str">
        <f>TRIP_ACCOUNTS!R42</f>
        <v>unscheduled</v>
      </c>
      <c r="AL3" s="13" t="str">
        <f>TRIP_ACCOUNTS!S42</f>
        <v>unscheduled</v>
      </c>
      <c r="AM3" s="810" t="str">
        <f>TRIP_ACCOUNTS!B79</f>
        <v>Derbyshire</v>
      </c>
      <c r="AN3" s="13" t="str">
        <f>TRIP_ACCOUNTS!C79</f>
        <v>Fisher</v>
      </c>
      <c r="AO3" s="13" t="str">
        <f>TRIP_ACCOUNTS!D79</f>
        <v>Martin</v>
      </c>
      <c r="AP3" s="13" t="str">
        <f>TRIP_ACCOUNTS!E79</f>
        <v>unscheduled</v>
      </c>
      <c r="AQ3" s="13" t="str">
        <f>TRIP_ACCOUNTS!F79</f>
        <v>unscheduled</v>
      </c>
      <c r="AR3" s="13" t="str">
        <f>TRIP_ACCOUNTS!G79</f>
        <v>unscheduled</v>
      </c>
      <c r="AS3" s="13" t="str">
        <f>TRIP_ACCOUNTS!H79</f>
        <v>unscheduled</v>
      </c>
      <c r="AT3" s="13" t="str">
        <f>TRIP_ACCOUNTS!I79</f>
        <v>James</v>
      </c>
      <c r="AU3" s="13" t="str">
        <f>TRIP_ACCOUNTS!J79</f>
        <v>unscheduled</v>
      </c>
      <c r="AV3" s="13" t="str">
        <f>TRIP_ACCOUNTS!K79</f>
        <v>unscheduled</v>
      </c>
      <c r="AW3" s="13" t="str">
        <f>TRIP_ACCOUNTS!L79</f>
        <v>James</v>
      </c>
      <c r="AX3" s="13" t="str">
        <f>TRIP_ACCOUNTS!M79</f>
        <v>(DA/HA)</v>
      </c>
      <c r="AY3" s="13" t="str">
        <f>TRIP_ACCOUNTS!N79</f>
        <v>Brough</v>
      </c>
      <c r="AZ3" s="13" t="str">
        <f>TRIP_ACCOUNTS!O79</f>
        <v>unscheduled</v>
      </c>
      <c r="BA3" s="13" t="str">
        <f>TRIP_ACCOUNTS!P79</f>
        <v>unscheduled</v>
      </c>
      <c r="BB3" s="13" t="str">
        <f>TRIP_ACCOUNTS!Q79</f>
        <v>unscheduled</v>
      </c>
      <c r="BC3" s="13" t="str">
        <f>TRIP_ACCOUNTS!R79</f>
        <v>unscheduled</v>
      </c>
      <c r="BD3" s="13" t="str">
        <f>TRIP_ACCOUNTS!S79</f>
        <v>Xmas</v>
      </c>
      <c r="BE3" s="13" t="str">
        <f>TRIP_ACCOUNTS!B116</f>
        <v>unscheduled</v>
      </c>
      <c r="BF3" s="13" t="str">
        <f>TRIP_ACCOUNTS!C116</f>
        <v>unscheduled</v>
      </c>
      <c r="BG3" s="13" t="str">
        <f>TRIP_ACCOUNTS!D116</f>
        <v>unscheduled</v>
      </c>
      <c r="BH3" s="13" t="str">
        <f>TRIP_ACCOUNTS!E116</f>
        <v>unscheduled</v>
      </c>
      <c r="BI3" s="18">
        <f>TRIP_ACCOUNTS!F116</f>
        <v>0</v>
      </c>
      <c r="BJ3" s="18">
        <f>TRIP_ACCOUNTS!G$116</f>
        <v>0</v>
      </c>
      <c r="BK3" s="18">
        <f>TRIP_ACCOUNTS!H$115</f>
        <v>0</v>
      </c>
      <c r="BL3" s="18">
        <f>TRIP_ACCOUNTS!I$115</f>
        <v>0</v>
      </c>
      <c r="BM3" s="18">
        <f>TRIP_ACCOUNTS!J$115</f>
        <v>0</v>
      </c>
      <c r="BN3" s="18">
        <f>TRIP_ACCOUNTS!L$115</f>
        <v>0</v>
      </c>
      <c r="BO3" s="18">
        <f>TRIP_ACCOUNTS!M$115</f>
        <v>0</v>
      </c>
      <c r="BP3" s="18">
        <f>TRIP_ACCOUNTS!N$115</f>
        <v>0</v>
      </c>
      <c r="BQ3" s="65"/>
      <c r="BR3" s="90"/>
      <c r="BS3" s="90"/>
      <c r="BT3" s="14"/>
    </row>
    <row r="4" spans="1:72" s="58" customFormat="1" ht="8" thickTop="1" thickBot="1">
      <c r="A4" s="526"/>
      <c r="B4" s="334"/>
      <c r="C4" s="285">
        <f>TRIP_ACCOUNTS!B$6</f>
        <v>44226</v>
      </c>
      <c r="D4" s="178">
        <f>TRIP_ACCOUNTS!C$6</f>
        <v>44491</v>
      </c>
      <c r="E4" s="178">
        <f>TRIP_ACCOUNTS!D$6</f>
        <v>44504</v>
      </c>
      <c r="F4" s="178">
        <f>TRIP_ACCOUNTS!E$6</f>
        <v>44221</v>
      </c>
      <c r="G4" s="178">
        <f>TRIP_ACCOUNTS!F$6</f>
        <v>44228</v>
      </c>
      <c r="H4" s="178">
        <f>TRIP_ACCOUNTS!G$6</f>
        <v>44243</v>
      </c>
      <c r="I4" s="178">
        <f>TRIP_ACCOUNTS!H$6</f>
        <v>44260</v>
      </c>
      <c r="J4" s="178">
        <f>TRIP_ACCOUNTS!I$6</f>
        <v>44280</v>
      </c>
      <c r="K4" s="178">
        <f>TRIP_ACCOUNTS!J$6</f>
        <v>44292</v>
      </c>
      <c r="L4" s="178">
        <f>TRIP_ACCOUNTS!K$6</f>
        <v>44290</v>
      </c>
      <c r="M4" s="178">
        <f>TRIP_ACCOUNTS!L$6</f>
        <v>44293</v>
      </c>
      <c r="N4" s="178">
        <f>TRIP_ACCOUNTS!M$6</f>
        <v>44259</v>
      </c>
      <c r="O4" s="178">
        <f>TRIP_ACCOUNTS!N$6</f>
        <v>44764</v>
      </c>
      <c r="P4" s="178">
        <f>TRIP_ACCOUNTS!O$6</f>
        <v>44425</v>
      </c>
      <c r="Q4" s="178">
        <f>TRIP_ACCOUNTS!P$6</f>
        <v>44497</v>
      </c>
      <c r="R4" s="178">
        <f>TRIP_ACCOUNTS!Q$6</f>
        <v>44512</v>
      </c>
      <c r="S4" s="178">
        <f>TRIP_ACCOUNTS!R$6</f>
        <v>44550</v>
      </c>
      <c r="T4" s="178">
        <f>TRIP_ACCOUNTS!S$6</f>
        <v>44572</v>
      </c>
      <c r="U4" s="178">
        <f>TRIP_ACCOUNTS!B43</f>
        <v>44287</v>
      </c>
      <c r="V4" s="178">
        <f>TRIP_ACCOUNTS!C43</f>
        <v>44294</v>
      </c>
      <c r="W4" s="178">
        <f>TRIP_ACCOUNTS!D43</f>
        <v>44301</v>
      </c>
      <c r="X4" s="178">
        <f>TRIP_ACCOUNTS!E43</f>
        <v>44308</v>
      </c>
      <c r="Y4" s="178">
        <f>TRIP_ACCOUNTS!F43</f>
        <v>44315</v>
      </c>
      <c r="Z4" s="178">
        <f>TRIP_ACCOUNTS!G43</f>
        <v>44322</v>
      </c>
      <c r="AA4" s="178">
        <f>TRIP_ACCOUNTS!H43</f>
        <v>44329</v>
      </c>
      <c r="AB4" s="178">
        <f>TRIP_ACCOUNTS!I43</f>
        <v>44336</v>
      </c>
      <c r="AC4" s="178">
        <f>TRIP_ACCOUNTS!J43</f>
        <v>44343</v>
      </c>
      <c r="AD4" s="178">
        <f>TRIP_ACCOUNTS!K43</f>
        <v>44350</v>
      </c>
      <c r="AE4" s="178">
        <f>TRIP_ACCOUNTS!L43</f>
        <v>44357</v>
      </c>
      <c r="AF4" s="178">
        <f>TRIP_ACCOUNTS!M43</f>
        <v>44364</v>
      </c>
      <c r="AG4" s="178">
        <f>TRIP_ACCOUNTS!N43</f>
        <v>44371</v>
      </c>
      <c r="AH4" s="178">
        <f>TRIP_ACCOUNTS!O43</f>
        <v>44378</v>
      </c>
      <c r="AI4" s="178">
        <f>TRIP_ACCOUNTS!P43</f>
        <v>44385</v>
      </c>
      <c r="AJ4" s="178">
        <f>TRIP_ACCOUNTS!Q43</f>
        <v>44392</v>
      </c>
      <c r="AK4" s="178">
        <f>TRIP_ACCOUNTS!R43</f>
        <v>44399</v>
      </c>
      <c r="AL4" s="178">
        <f>TRIP_ACCOUNTS!S43</f>
        <v>44406</v>
      </c>
      <c r="AM4" s="178">
        <f>TRIP_ACCOUNTS!B80</f>
        <v>44413</v>
      </c>
      <c r="AN4" s="178">
        <f>TRIP_ACCOUNTS!C80</f>
        <v>44420</v>
      </c>
      <c r="AO4" s="178">
        <f>TRIP_ACCOUNTS!D80</f>
        <v>44427</v>
      </c>
      <c r="AP4" s="178">
        <f>TRIP_ACCOUNTS!E80</f>
        <v>44434</v>
      </c>
      <c r="AQ4" s="178">
        <f>TRIP_ACCOUNTS!F80</f>
        <v>44441</v>
      </c>
      <c r="AR4" s="178">
        <f>TRIP_ACCOUNTS!G80</f>
        <v>44448</v>
      </c>
      <c r="AS4" s="178">
        <f>TRIP_ACCOUNTS!H80</f>
        <v>44455</v>
      </c>
      <c r="AT4" s="178">
        <f>TRIP_ACCOUNTS!I80</f>
        <v>44462</v>
      </c>
      <c r="AU4" s="178">
        <f>TRIP_ACCOUNTS!J80</f>
        <v>44469</v>
      </c>
      <c r="AV4" s="178">
        <f>TRIP_ACCOUNTS!K80</f>
        <v>44476</v>
      </c>
      <c r="AW4" s="178">
        <f>TRIP_ACCOUNTS!L80</f>
        <v>44483</v>
      </c>
      <c r="AX4" s="178">
        <f>TRIP_ACCOUNTS!M80</f>
        <v>44490</v>
      </c>
      <c r="AY4" s="178">
        <f>TRIP_ACCOUNTS!N80</f>
        <v>44497</v>
      </c>
      <c r="AZ4" s="178">
        <f>TRIP_ACCOUNTS!O80</f>
        <v>44504</v>
      </c>
      <c r="BA4" s="178">
        <f>TRIP_ACCOUNTS!P80</f>
        <v>44511</v>
      </c>
      <c r="BB4" s="178">
        <f>TRIP_ACCOUNTS!Q80</f>
        <v>44518</v>
      </c>
      <c r="BC4" s="178">
        <f>TRIP_ACCOUNTS!R80</f>
        <v>44525</v>
      </c>
      <c r="BD4" s="178">
        <f>TRIP_ACCOUNTS!S80</f>
        <v>44553</v>
      </c>
      <c r="BE4" s="178">
        <f>TRIP_ACCOUNTS!B117</f>
        <v>44560</v>
      </c>
      <c r="BF4" s="178">
        <f>TRIP_ACCOUNTS!C117</f>
        <v>44567</v>
      </c>
      <c r="BG4" s="178">
        <f>TRIP_ACCOUNTS!D117</f>
        <v>44574</v>
      </c>
      <c r="BH4" s="178">
        <f>TRIP_ACCOUNTS!E117</f>
        <v>44581</v>
      </c>
      <c r="BI4" s="177">
        <f>TRIP_ACCOUNTS!F117</f>
        <v>0</v>
      </c>
      <c r="BJ4" s="177">
        <f>TRIP_ACCOUNTS!G$117</f>
        <v>0</v>
      </c>
      <c r="BK4" s="177">
        <f>TRIP_ACCOUNTS!H$116</f>
        <v>0</v>
      </c>
      <c r="BL4" s="177">
        <f>TRIP_ACCOUNTS!I$116</f>
        <v>0</v>
      </c>
      <c r="BM4" s="177">
        <f>TRIP_ACCOUNTS!J$116</f>
        <v>0</v>
      </c>
      <c r="BN4" s="177">
        <f>TRIP_ACCOUNTS!K$116</f>
        <v>0</v>
      </c>
      <c r="BO4" s="177">
        <f>TRIP_ACCOUNTS!M$116</f>
        <v>0</v>
      </c>
      <c r="BP4" s="177">
        <f>TRIP_ACCOUNTS!N$116</f>
        <v>0</v>
      </c>
      <c r="BQ4" s="179"/>
      <c r="BR4" s="243"/>
      <c r="BS4" s="243"/>
      <c r="BT4" s="181" t="s">
        <v>73</v>
      </c>
    </row>
    <row r="5" spans="1:72" s="293" customFormat="1" ht="7.5" thickTop="1">
      <c r="A5" s="531"/>
      <c r="B5" s="622" t="str">
        <f>+Summary!A56</f>
        <v xml:space="preserve">  JOBS TO BE DONE EVERY YEAR</v>
      </c>
      <c r="C5" s="434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5"/>
      <c r="AF5" s="435"/>
      <c r="AG5" s="435"/>
      <c r="AH5" s="435"/>
      <c r="AI5" s="435"/>
      <c r="AJ5" s="435"/>
      <c r="AK5" s="435"/>
      <c r="AL5" s="435"/>
      <c r="AM5" s="435"/>
      <c r="AN5" s="435"/>
      <c r="AO5" s="435"/>
      <c r="AP5" s="435"/>
      <c r="AQ5" s="435"/>
      <c r="AR5" s="435"/>
      <c r="AS5" s="435"/>
      <c r="AT5" s="435"/>
      <c r="AU5" s="435"/>
      <c r="AV5" s="435"/>
      <c r="AW5" s="435"/>
      <c r="AX5" s="435"/>
      <c r="AY5" s="435"/>
      <c r="AZ5" s="435"/>
      <c r="BA5" s="435"/>
      <c r="BB5" s="435"/>
      <c r="BC5" s="435"/>
      <c r="BD5" s="435"/>
      <c r="BE5" s="435"/>
      <c r="BF5" s="435"/>
      <c r="BG5" s="435"/>
      <c r="BH5" s="435"/>
      <c r="BI5" s="435"/>
      <c r="BJ5" s="363"/>
      <c r="BK5" s="363"/>
      <c r="BL5" s="363"/>
      <c r="BM5" s="363"/>
      <c r="BN5" s="363"/>
      <c r="BO5" s="363"/>
      <c r="BP5" s="363"/>
      <c r="BQ5" s="364"/>
      <c r="BR5" s="120"/>
      <c r="BS5" s="120"/>
      <c r="BT5" s="34">
        <f t="shared" ref="BT5:BT24" si="0">SUM(D5:BP5)</f>
        <v>0</v>
      </c>
    </row>
    <row r="6" spans="1:72" s="293" customFormat="1" ht="14">
      <c r="A6" s="530">
        <v>10</v>
      </c>
      <c r="B6" s="619" t="str">
        <f>Summary!A57</f>
        <v>Refurbish rear loo so bowl holds water, we have all the parts.  Front loo loose? See also 9</v>
      </c>
      <c r="C6" s="436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365"/>
      <c r="BK6" s="365"/>
      <c r="BL6" s="365"/>
      <c r="BM6" s="365"/>
      <c r="BN6" s="365"/>
      <c r="BO6" s="365"/>
      <c r="BP6" s="365"/>
      <c r="BQ6" s="366"/>
      <c r="BR6" s="120"/>
      <c r="BS6" s="120"/>
      <c r="BT6" s="34">
        <f t="shared" si="0"/>
        <v>0</v>
      </c>
    </row>
    <row r="7" spans="1:72" s="293" customFormat="1" ht="14">
      <c r="A7" s="529">
        <v>11</v>
      </c>
      <c r="B7" s="619" t="str">
        <f>+Summary!A58</f>
        <v xml:space="preserve">De-winterise water pump,check for leaks, reinstall, change water filter. Re-install Port Side Heating pump and shower. </v>
      </c>
      <c r="C7" s="436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7"/>
      <c r="BC7" s="437"/>
      <c r="BD7" s="437"/>
      <c r="BE7" s="437"/>
      <c r="BF7" s="437"/>
      <c r="BG7" s="437"/>
      <c r="BH7" s="437"/>
      <c r="BI7" s="437"/>
      <c r="BJ7" s="365"/>
      <c r="BK7" s="365"/>
      <c r="BL7" s="365"/>
      <c r="BM7" s="365"/>
      <c r="BN7" s="365"/>
      <c r="BO7" s="365"/>
      <c r="BP7" s="365"/>
      <c r="BQ7" s="366"/>
      <c r="BR7" s="120"/>
      <c r="BS7" s="120"/>
      <c r="BT7" s="34">
        <f t="shared" si="0"/>
        <v>0</v>
      </c>
    </row>
    <row r="8" spans="1:72" s="293" customFormat="1">
      <c r="A8" s="529">
        <v>12</v>
      </c>
      <c r="B8" s="619" t="str">
        <f>+Summary!A59</f>
        <v>Restock water filters &amp; Freezeban</v>
      </c>
      <c r="C8" s="436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>
        <v>28.2</v>
      </c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AY8" s="437"/>
      <c r="AZ8" s="437"/>
      <c r="BA8" s="437"/>
      <c r="BB8" s="437"/>
      <c r="BC8" s="437"/>
      <c r="BD8" s="437"/>
      <c r="BE8" s="437"/>
      <c r="BF8" s="437"/>
      <c r="BG8" s="437"/>
      <c r="BH8" s="437"/>
      <c r="BI8" s="437"/>
      <c r="BJ8" s="365"/>
      <c r="BK8" s="365"/>
      <c r="BL8" s="365"/>
      <c r="BM8" s="365"/>
      <c r="BN8" s="365"/>
      <c r="BO8" s="365"/>
      <c r="BP8" s="365"/>
      <c r="BQ8" s="366"/>
      <c r="BR8" s="120"/>
      <c r="BS8" s="120"/>
      <c r="BT8" s="34">
        <f t="shared" si="0"/>
        <v>28.2</v>
      </c>
    </row>
    <row r="9" spans="1:72" s="293" customFormat="1">
      <c r="A9" s="529">
        <v>16</v>
      </c>
      <c r="B9" s="619" t="str">
        <f>+Summary!A60</f>
        <v>Restock CH antifreeze Check water levels (see below)</v>
      </c>
      <c r="C9" s="436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365"/>
      <c r="BK9" s="365"/>
      <c r="BL9" s="365"/>
      <c r="BM9" s="365"/>
      <c r="BN9" s="365"/>
      <c r="BO9" s="365"/>
      <c r="BP9" s="365"/>
      <c r="BQ9" s="366"/>
      <c r="BR9" s="120"/>
      <c r="BS9" s="120"/>
      <c r="BT9" s="34">
        <f t="shared" si="0"/>
        <v>0</v>
      </c>
    </row>
    <row r="10" spans="1:72" s="293" customFormat="1">
      <c r="A10" s="529">
        <v>17</v>
      </c>
      <c r="B10" s="619" t="str">
        <f>+Summary!A61</f>
        <v>Replace pillows  (4/year?)</v>
      </c>
      <c r="C10" s="436"/>
      <c r="D10" s="437"/>
      <c r="E10" s="437"/>
      <c r="F10" s="437"/>
      <c r="G10" s="437"/>
      <c r="H10" s="437"/>
      <c r="I10" s="437"/>
      <c r="J10" s="437"/>
      <c r="K10" s="437"/>
      <c r="L10" s="437">
        <v>29.7</v>
      </c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365"/>
      <c r="BK10" s="365"/>
      <c r="BL10" s="365"/>
      <c r="BM10" s="365"/>
      <c r="BN10" s="365"/>
      <c r="BO10" s="365"/>
      <c r="BP10" s="365"/>
      <c r="BQ10" s="366"/>
      <c r="BR10" s="120"/>
      <c r="BS10" s="120"/>
      <c r="BT10" s="34">
        <f t="shared" si="0"/>
        <v>29.7</v>
      </c>
    </row>
    <row r="11" spans="1:72" s="293" customFormat="1">
      <c r="A11" s="529">
        <v>18</v>
      </c>
      <c r="B11" s="619" t="str">
        <f>+Summary!A62</f>
        <v>Re-stock first aid kit as needed</v>
      </c>
      <c r="C11" s="436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365"/>
      <c r="BK11" s="365"/>
      <c r="BL11" s="365"/>
      <c r="BM11" s="365"/>
      <c r="BN11" s="365"/>
      <c r="BO11" s="365"/>
      <c r="BP11" s="365"/>
      <c r="BQ11" s="366"/>
      <c r="BR11" s="120"/>
      <c r="BS11" s="120"/>
      <c r="BT11" s="34">
        <f t="shared" si="0"/>
        <v>0</v>
      </c>
    </row>
    <row r="12" spans="1:72" s="293" customFormat="1">
      <c r="A12" s="529">
        <v>19</v>
      </c>
      <c r="B12" s="619" t="str">
        <f>+Summary!A63</f>
        <v>Clean boat for start of season</v>
      </c>
      <c r="C12" s="436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365"/>
      <c r="BK12" s="365"/>
      <c r="BL12" s="365"/>
      <c r="BM12" s="365"/>
      <c r="BN12" s="365"/>
      <c r="BO12" s="365"/>
      <c r="BP12" s="365"/>
      <c r="BQ12" s="366"/>
      <c r="BR12" s="120"/>
      <c r="BS12" s="120"/>
      <c r="BT12" s="34">
        <f t="shared" si="0"/>
        <v>0</v>
      </c>
    </row>
    <row r="13" spans="1:72" s="293" customFormat="1">
      <c r="A13" s="529">
        <v>26</v>
      </c>
      <c r="B13" s="619" t="str">
        <f>+Summary!A64</f>
        <v>Service engine (oil &amp; filters mid season)  add diesel tonic, Oil and filter, Fuel filter,</v>
      </c>
      <c r="C13" s="436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>
        <v>37.15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365"/>
      <c r="BK13" s="365"/>
      <c r="BL13" s="365"/>
      <c r="BM13" s="365"/>
      <c r="BN13" s="365"/>
      <c r="BO13" s="365"/>
      <c r="BP13" s="365"/>
      <c r="BQ13" s="366"/>
      <c r="BR13" s="120"/>
      <c r="BS13" s="120"/>
      <c r="BT13" s="34">
        <f t="shared" si="0"/>
        <v>37.15</v>
      </c>
    </row>
    <row r="14" spans="1:72" s="293" customFormat="1">
      <c r="A14" s="529"/>
      <c r="B14" s="642" t="str">
        <f>+Summary!A65</f>
        <v xml:space="preserve">  JOBS FOR THIS YEAR</v>
      </c>
      <c r="C14" s="436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  <c r="BB14" s="437"/>
      <c r="BC14" s="437"/>
      <c r="BD14" s="437"/>
      <c r="BE14" s="437"/>
      <c r="BF14" s="437"/>
      <c r="BG14" s="437"/>
      <c r="BH14" s="437"/>
      <c r="BI14" s="437"/>
      <c r="BJ14" s="365"/>
      <c r="BK14" s="365"/>
      <c r="BL14" s="365"/>
      <c r="BM14" s="365"/>
      <c r="BN14" s="365"/>
      <c r="BO14" s="365"/>
      <c r="BP14" s="365"/>
      <c r="BQ14" s="366"/>
      <c r="BR14" s="120"/>
      <c r="BS14" s="120"/>
      <c r="BT14" s="34">
        <f t="shared" si="0"/>
        <v>0</v>
      </c>
    </row>
    <row r="15" spans="1:72" s="293" customFormat="1">
      <c r="A15" s="529">
        <v>32</v>
      </c>
      <c r="B15" s="619" t="str">
        <f>+Summary!A66</f>
        <v>Resolve starter issue</v>
      </c>
      <c r="C15" s="436"/>
      <c r="D15" s="437"/>
      <c r="E15" s="437"/>
      <c r="F15" s="437"/>
      <c r="G15" s="437"/>
      <c r="H15" s="437"/>
      <c r="I15" s="437"/>
      <c r="J15" s="437"/>
      <c r="K15" s="437"/>
      <c r="L15" s="437">
        <v>18.38</v>
      </c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365"/>
      <c r="BK15" s="365"/>
      <c r="BL15" s="365"/>
      <c r="BM15" s="365"/>
      <c r="BN15" s="365"/>
      <c r="BO15" s="365"/>
      <c r="BP15" s="365"/>
      <c r="BQ15" s="366"/>
      <c r="BR15" s="120"/>
      <c r="BS15" s="120"/>
      <c r="BT15" s="34">
        <f t="shared" si="0"/>
        <v>18.38</v>
      </c>
    </row>
    <row r="16" spans="1:72" s="293" customFormat="1">
      <c r="A16" s="529">
        <v>33</v>
      </c>
      <c r="B16" s="619" t="str">
        <f>+Summary!A67</f>
        <v>Boiler check</v>
      </c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437"/>
      <c r="BJ16" s="365"/>
      <c r="BK16" s="365"/>
      <c r="BL16" s="365"/>
      <c r="BM16" s="365"/>
      <c r="BN16" s="365"/>
      <c r="BO16" s="365"/>
      <c r="BP16" s="365"/>
      <c r="BQ16" s="366"/>
      <c r="BR16" s="120"/>
      <c r="BS16" s="120"/>
      <c r="BT16" s="34">
        <f t="shared" si="0"/>
        <v>0</v>
      </c>
    </row>
    <row r="17" spans="1:72" s="293" customFormat="1">
      <c r="A17" s="529">
        <v>34</v>
      </c>
      <c r="B17" s="864" t="str">
        <f>+Summary!A68</f>
        <v xml:space="preserve">Jobs by Danny to support painting </v>
      </c>
      <c r="C17" s="436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/>
      <c r="BE17" s="437"/>
      <c r="BF17" s="437"/>
      <c r="BG17" s="437"/>
      <c r="BH17" s="437"/>
      <c r="BI17" s="437"/>
      <c r="BJ17" s="365"/>
      <c r="BK17" s="365"/>
      <c r="BL17" s="365"/>
      <c r="BM17" s="365"/>
      <c r="BN17" s="365"/>
      <c r="BO17" s="365"/>
      <c r="BP17" s="365"/>
      <c r="BQ17" s="366"/>
      <c r="BR17" s="120"/>
      <c r="BS17" s="120"/>
      <c r="BT17" s="34">
        <f t="shared" si="0"/>
        <v>0</v>
      </c>
    </row>
    <row r="18" spans="1:72" s="293" customFormat="1">
      <c r="A18" s="528">
        <v>35</v>
      </c>
      <c r="B18" s="864" t="str">
        <f>+Summary!A69</f>
        <v>Repair front door before painting</v>
      </c>
      <c r="C18" s="436"/>
      <c r="D18" s="437"/>
      <c r="E18" s="437"/>
      <c r="F18" s="437"/>
      <c r="G18" s="437"/>
      <c r="H18" s="437"/>
      <c r="I18" s="437"/>
      <c r="J18" s="437"/>
      <c r="K18" s="437"/>
      <c r="L18" s="437">
        <v>141.72</v>
      </c>
      <c r="M18" s="437"/>
      <c r="N18" s="437"/>
      <c r="O18" s="437"/>
      <c r="P18" s="437"/>
      <c r="Q18" s="437">
        <v>17.97</v>
      </c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37"/>
      <c r="BJ18" s="365"/>
      <c r="BK18" s="365"/>
      <c r="BL18" s="365"/>
      <c r="BM18" s="365"/>
      <c r="BN18" s="365"/>
      <c r="BO18" s="365"/>
      <c r="BP18" s="365"/>
      <c r="BQ18" s="366"/>
      <c r="BR18" s="120"/>
      <c r="BS18" s="120"/>
      <c r="BT18" s="34">
        <f t="shared" si="0"/>
        <v>159.69</v>
      </c>
    </row>
    <row r="19" spans="1:72" s="293" customFormat="1">
      <c r="A19" s="528">
        <v>36</v>
      </c>
      <c r="B19" s="864" t="str">
        <f>+Summary!A70</f>
        <v>Permanent solution to collapsed boiler chimney</v>
      </c>
      <c r="C19" s="436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437"/>
      <c r="BJ19" s="365"/>
      <c r="BK19" s="365"/>
      <c r="BL19" s="365"/>
      <c r="BM19" s="365"/>
      <c r="BN19" s="365"/>
      <c r="BO19" s="365"/>
      <c r="BP19" s="365"/>
      <c r="BQ19" s="366"/>
      <c r="BR19" s="120"/>
      <c r="BS19" s="120"/>
      <c r="BT19" s="34">
        <f t="shared" si="0"/>
        <v>0</v>
      </c>
    </row>
    <row r="20" spans="1:72" s="293" customFormat="1">
      <c r="A20" s="528">
        <v>37</v>
      </c>
      <c r="B20" s="619" t="str">
        <f>+Summary!A71</f>
        <v xml:space="preserve">Resolve water leak at front radiator vent pipe </v>
      </c>
      <c r="C20" s="436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437"/>
      <c r="BB20" s="437"/>
      <c r="BC20" s="437"/>
      <c r="BD20" s="437"/>
      <c r="BE20" s="437"/>
      <c r="BF20" s="437"/>
      <c r="BG20" s="437"/>
      <c r="BH20" s="437"/>
      <c r="BI20" s="437"/>
      <c r="BJ20" s="365"/>
      <c r="BK20" s="365"/>
      <c r="BL20" s="365"/>
      <c r="BM20" s="365"/>
      <c r="BN20" s="365"/>
      <c r="BO20" s="365"/>
      <c r="BP20" s="365"/>
      <c r="BQ20" s="366"/>
      <c r="BR20" s="120"/>
      <c r="BS20" s="120"/>
      <c r="BT20" s="34">
        <f t="shared" si="0"/>
        <v>0</v>
      </c>
    </row>
    <row r="21" spans="1:72" s="293" customFormat="1">
      <c r="A21" s="528">
        <v>38</v>
      </c>
      <c r="B21" s="619" t="str">
        <f>+Summary!A72</f>
        <v>Monitor water pump voltage problem</v>
      </c>
      <c r="C21" s="436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37"/>
      <c r="AW21" s="437"/>
      <c r="AX21" s="437"/>
      <c r="AY21" s="437"/>
      <c r="AZ21" s="437"/>
      <c r="BA21" s="437"/>
      <c r="BB21" s="437"/>
      <c r="BC21" s="437"/>
      <c r="BD21" s="437"/>
      <c r="BE21" s="437"/>
      <c r="BF21" s="437"/>
      <c r="BG21" s="437"/>
      <c r="BH21" s="437"/>
      <c r="BI21" s="437"/>
      <c r="BJ21" s="365"/>
      <c r="BK21" s="365"/>
      <c r="BL21" s="365"/>
      <c r="BM21" s="365"/>
      <c r="BN21" s="365"/>
      <c r="BO21" s="365"/>
      <c r="BP21" s="365"/>
      <c r="BQ21" s="366"/>
      <c r="BR21" s="120"/>
      <c r="BS21" s="120"/>
      <c r="BT21" s="34">
        <f t="shared" si="0"/>
        <v>0</v>
      </c>
    </row>
    <row r="22" spans="1:72" s="293" customFormat="1">
      <c r="A22" s="528">
        <v>39</v>
      </c>
      <c r="B22" s="619" t="str">
        <f>+Summary!A73</f>
        <v>Check for water leaks under kitchen sink as possible cause of smell</v>
      </c>
      <c r="C22" s="436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7"/>
      <c r="BA22" s="437"/>
      <c r="BB22" s="437"/>
      <c r="BC22" s="437"/>
      <c r="BD22" s="437"/>
      <c r="BE22" s="437"/>
      <c r="BF22" s="437"/>
      <c r="BG22" s="437"/>
      <c r="BH22" s="437"/>
      <c r="BI22" s="437"/>
      <c r="BJ22" s="365"/>
      <c r="BK22" s="365"/>
      <c r="BL22" s="365"/>
      <c r="BM22" s="365"/>
      <c r="BN22" s="365"/>
      <c r="BO22" s="365"/>
      <c r="BP22" s="365"/>
      <c r="BQ22" s="366"/>
      <c r="BR22" s="120"/>
      <c r="BS22" s="120"/>
      <c r="BT22" s="34">
        <f t="shared" si="0"/>
        <v>0</v>
      </c>
    </row>
    <row r="23" spans="1:72" s="293" customFormat="1">
      <c r="A23" s="528">
        <v>40</v>
      </c>
      <c r="B23" s="619" t="str">
        <f>+Summary!A74</f>
        <v>Replace  fenders</v>
      </c>
      <c r="C23" s="436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>
        <v>325</v>
      </c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7"/>
      <c r="BA23" s="437"/>
      <c r="BB23" s="437"/>
      <c r="BC23" s="437"/>
      <c r="BD23" s="437"/>
      <c r="BE23" s="437"/>
      <c r="BF23" s="437"/>
      <c r="BG23" s="437"/>
      <c r="BH23" s="437"/>
      <c r="BI23" s="437"/>
      <c r="BJ23" s="365"/>
      <c r="BK23" s="365"/>
      <c r="BL23" s="365"/>
      <c r="BM23" s="365"/>
      <c r="BN23" s="365"/>
      <c r="BO23" s="365"/>
      <c r="BP23" s="365"/>
      <c r="BQ23" s="366"/>
      <c r="BR23" s="120"/>
      <c r="BS23" s="120"/>
      <c r="BT23" s="34">
        <f t="shared" si="0"/>
        <v>325</v>
      </c>
    </row>
    <row r="24" spans="1:72" s="293" customFormat="1">
      <c r="A24" s="528">
        <v>41</v>
      </c>
      <c r="B24" s="619" t="str">
        <f>+Summary!A75</f>
        <v xml:space="preserve">Shelving in dining area - wire stops, </v>
      </c>
      <c r="C24" s="436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7"/>
      <c r="BJ24" s="365"/>
      <c r="BK24" s="365"/>
      <c r="BL24" s="365"/>
      <c r="BM24" s="365"/>
      <c r="BN24" s="365"/>
      <c r="BO24" s="365"/>
      <c r="BP24" s="365"/>
      <c r="BQ24" s="366"/>
      <c r="BR24" s="120"/>
      <c r="BS24" s="120"/>
      <c r="BT24" s="34">
        <f t="shared" si="0"/>
        <v>0</v>
      </c>
    </row>
    <row r="25" spans="1:72" s="293" customFormat="1">
      <c r="A25" s="528">
        <v>42</v>
      </c>
      <c r="B25" s="619" t="str">
        <f>+Summary!A76</f>
        <v>Replace missing bags for blankets and pillows?</v>
      </c>
      <c r="C25" s="436"/>
      <c r="D25" s="437"/>
      <c r="E25" s="437"/>
      <c r="F25" s="437"/>
      <c r="G25" s="437"/>
      <c r="H25" s="437"/>
      <c r="I25" s="437"/>
      <c r="J25" s="437"/>
      <c r="K25" s="437"/>
      <c r="L25" s="437">
        <v>23.99</v>
      </c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7"/>
      <c r="BA25" s="437"/>
      <c r="BB25" s="437"/>
      <c r="BC25" s="437"/>
      <c r="BD25" s="437"/>
      <c r="BE25" s="437"/>
      <c r="BF25" s="437"/>
      <c r="BG25" s="437"/>
      <c r="BH25" s="437"/>
      <c r="BI25" s="437"/>
      <c r="BJ25" s="365"/>
      <c r="BK25" s="365"/>
      <c r="BL25" s="365"/>
      <c r="BM25" s="365"/>
      <c r="BN25" s="365"/>
      <c r="BO25" s="365"/>
      <c r="BP25" s="365"/>
      <c r="BQ25" s="366"/>
      <c r="BR25" s="120"/>
      <c r="BS25" s="120"/>
      <c r="BT25" s="34">
        <f t="shared" ref="BT25:BT26" si="1">SUM(D25:BP25)</f>
        <v>23.99</v>
      </c>
    </row>
    <row r="26" spans="1:72" s="293" customFormat="1" ht="14">
      <c r="A26" s="528">
        <v>43</v>
      </c>
      <c r="B26" s="619" t="str">
        <f>+Summary!A77</f>
        <v>Organize boxes in Boiler Cupboard.  Label boxes with contents, replace failing boxes, put list of contents on back of the door.</v>
      </c>
      <c r="C26" s="436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437"/>
      <c r="BE26" s="437"/>
      <c r="BF26" s="437"/>
      <c r="BG26" s="437"/>
      <c r="BH26" s="437"/>
      <c r="BI26" s="437"/>
      <c r="BJ26" s="365"/>
      <c r="BK26" s="365"/>
      <c r="BL26" s="365"/>
      <c r="BM26" s="365"/>
      <c r="BN26" s="365"/>
      <c r="BO26" s="365"/>
      <c r="BP26" s="365"/>
      <c r="BQ26" s="366"/>
      <c r="BR26" s="120"/>
      <c r="BS26" s="120"/>
      <c r="BT26" s="34">
        <f t="shared" si="1"/>
        <v>0</v>
      </c>
    </row>
    <row r="27" spans="1:72" s="293" customFormat="1">
      <c r="A27" s="528">
        <v>44</v>
      </c>
      <c r="B27" s="619" t="str">
        <f>+Summary!A78</f>
        <v>Replace rubber matting over rear boards</v>
      </c>
      <c r="C27" s="436"/>
      <c r="D27" s="437"/>
      <c r="E27" s="437"/>
      <c r="F27" s="437"/>
      <c r="G27" s="437"/>
      <c r="H27" s="437"/>
      <c r="I27" s="437"/>
      <c r="J27" s="437"/>
      <c r="K27" s="437"/>
      <c r="L27" s="437">
        <v>200</v>
      </c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>
        <v>3</v>
      </c>
      <c r="AH27" s="437"/>
      <c r="AI27" s="437"/>
      <c r="AJ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  <c r="AY27" s="437"/>
      <c r="AZ27" s="437"/>
      <c r="BA27" s="437"/>
      <c r="BB27" s="437"/>
      <c r="BC27" s="437"/>
      <c r="BD27" s="437"/>
      <c r="BE27" s="437"/>
      <c r="BF27" s="437"/>
      <c r="BG27" s="437"/>
      <c r="BH27" s="437"/>
      <c r="BI27" s="437"/>
      <c r="BJ27" s="365"/>
      <c r="BK27" s="365"/>
      <c r="BL27" s="365"/>
      <c r="BM27" s="365"/>
      <c r="BN27" s="365"/>
      <c r="BO27" s="365"/>
      <c r="BP27" s="365"/>
      <c r="BQ27" s="366"/>
      <c r="BR27" s="120"/>
      <c r="BS27" s="120"/>
      <c r="BT27" s="34">
        <f t="shared" ref="BT27:BT37" si="2">SUM(D27:BP27)</f>
        <v>203</v>
      </c>
    </row>
    <row r="28" spans="1:72" s="293" customFormat="1">
      <c r="A28" s="528">
        <v>45</v>
      </c>
      <c r="B28" s="619" t="str">
        <f>+Summary!A79</f>
        <v xml:space="preserve">Add spotlight option to front headlight.  </v>
      </c>
      <c r="C28" s="436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>
        <v>17.34</v>
      </c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7"/>
      <c r="BA28" s="437"/>
      <c r="BB28" s="437"/>
      <c r="BC28" s="437"/>
      <c r="BD28" s="437"/>
      <c r="BE28" s="437"/>
      <c r="BF28" s="437"/>
      <c r="BG28" s="437"/>
      <c r="BH28" s="437"/>
      <c r="BI28" s="437"/>
      <c r="BJ28" s="365"/>
      <c r="BK28" s="365"/>
      <c r="BL28" s="365"/>
      <c r="BM28" s="365"/>
      <c r="BN28" s="365"/>
      <c r="BO28" s="365"/>
      <c r="BP28" s="365"/>
      <c r="BQ28" s="366"/>
      <c r="BR28" s="120"/>
      <c r="BS28" s="120"/>
      <c r="BT28" s="34">
        <f t="shared" si="2"/>
        <v>17.34</v>
      </c>
    </row>
    <row r="29" spans="1:72" s="293" customFormat="1">
      <c r="A29" s="528">
        <v>46</v>
      </c>
      <c r="B29" s="619" t="str">
        <f>+Summary!A80</f>
        <v>Lights replacement/upgrade (see list at bottom)</v>
      </c>
      <c r="C29" s="436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  <c r="AY29" s="437"/>
      <c r="AZ29" s="437"/>
      <c r="BA29" s="437"/>
      <c r="BB29" s="437"/>
      <c r="BC29" s="437"/>
      <c r="BD29" s="437"/>
      <c r="BE29" s="437"/>
      <c r="BF29" s="437"/>
      <c r="BG29" s="437"/>
      <c r="BH29" s="437"/>
      <c r="BI29" s="437"/>
      <c r="BJ29" s="365"/>
      <c r="BK29" s="365"/>
      <c r="BL29" s="365"/>
      <c r="BM29" s="365"/>
      <c r="BN29" s="365"/>
      <c r="BO29" s="365"/>
      <c r="BP29" s="365"/>
      <c r="BQ29" s="366"/>
      <c r="BR29" s="120"/>
      <c r="BS29" s="120"/>
      <c r="BT29" s="34">
        <f t="shared" si="2"/>
        <v>0</v>
      </c>
    </row>
    <row r="30" spans="1:72" s="293" customFormat="1" hidden="1">
      <c r="A30" s="534"/>
      <c r="B30" s="831">
        <f>+Summary!A81</f>
        <v>0</v>
      </c>
      <c r="C30" s="436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37"/>
      <c r="AW30" s="437"/>
      <c r="AX30" s="437"/>
      <c r="AY30" s="437"/>
      <c r="AZ30" s="437"/>
      <c r="BA30" s="437"/>
      <c r="BB30" s="437"/>
      <c r="BC30" s="437"/>
      <c r="BD30" s="437"/>
      <c r="BE30" s="437"/>
      <c r="BF30" s="437"/>
      <c r="BG30" s="437"/>
      <c r="BH30" s="437"/>
      <c r="BI30" s="437"/>
      <c r="BJ30" s="365"/>
      <c r="BK30" s="365"/>
      <c r="BL30" s="365"/>
      <c r="BM30" s="365"/>
      <c r="BN30" s="365"/>
      <c r="BO30" s="365"/>
      <c r="BP30" s="365"/>
      <c r="BQ30" s="366"/>
      <c r="BR30" s="120"/>
      <c r="BS30" s="120"/>
      <c r="BT30" s="34">
        <f t="shared" si="2"/>
        <v>0</v>
      </c>
    </row>
    <row r="31" spans="1:72" s="293" customFormat="1" hidden="1">
      <c r="A31" s="528"/>
      <c r="B31" s="831">
        <f>+Summary!A82</f>
        <v>0</v>
      </c>
      <c r="C31" s="436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7"/>
      <c r="AV31" s="437"/>
      <c r="AW31" s="437"/>
      <c r="AX31" s="437"/>
      <c r="AY31" s="437"/>
      <c r="AZ31" s="437"/>
      <c r="BA31" s="437"/>
      <c r="BB31" s="437"/>
      <c r="BC31" s="437"/>
      <c r="BD31" s="437"/>
      <c r="BE31" s="437"/>
      <c r="BF31" s="437"/>
      <c r="BG31" s="437"/>
      <c r="BH31" s="437"/>
      <c r="BI31" s="437"/>
      <c r="BJ31" s="365"/>
      <c r="BK31" s="365"/>
      <c r="BL31" s="365"/>
      <c r="BM31" s="365"/>
      <c r="BN31" s="365"/>
      <c r="BO31" s="365"/>
      <c r="BP31" s="365"/>
      <c r="BQ31" s="366"/>
      <c r="BR31" s="120"/>
      <c r="BS31" s="120"/>
      <c r="BT31" s="34">
        <f t="shared" si="2"/>
        <v>0</v>
      </c>
    </row>
    <row r="32" spans="1:72" s="293" customFormat="1" hidden="1">
      <c r="A32" s="528"/>
      <c r="B32" s="831">
        <f>+Summary!A83</f>
        <v>0</v>
      </c>
      <c r="C32" s="436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  <c r="AT32" s="437"/>
      <c r="AU32" s="437"/>
      <c r="AV32" s="437"/>
      <c r="AW32" s="437"/>
      <c r="AX32" s="437"/>
      <c r="AY32" s="437"/>
      <c r="AZ32" s="437"/>
      <c r="BA32" s="437"/>
      <c r="BB32" s="437"/>
      <c r="BC32" s="437"/>
      <c r="BD32" s="437"/>
      <c r="BE32" s="437"/>
      <c r="BF32" s="437"/>
      <c r="BG32" s="437"/>
      <c r="BH32" s="437"/>
      <c r="BI32" s="437"/>
      <c r="BJ32" s="365"/>
      <c r="BK32" s="365"/>
      <c r="BL32" s="365"/>
      <c r="BM32" s="365"/>
      <c r="BN32" s="365"/>
      <c r="BO32" s="365"/>
      <c r="BP32" s="365"/>
      <c r="BQ32" s="366"/>
      <c r="BR32" s="120"/>
      <c r="BS32" s="120"/>
      <c r="BT32" s="34">
        <f t="shared" si="2"/>
        <v>0</v>
      </c>
    </row>
    <row r="33" spans="1:72" s="293" customFormat="1" hidden="1">
      <c r="A33" s="528"/>
      <c r="B33" s="619">
        <f>+Summary!A84</f>
        <v>0</v>
      </c>
      <c r="C33" s="436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7"/>
      <c r="BA33" s="437"/>
      <c r="BB33" s="437"/>
      <c r="BC33" s="437"/>
      <c r="BD33" s="437"/>
      <c r="BE33" s="437"/>
      <c r="BF33" s="437"/>
      <c r="BG33" s="437"/>
      <c r="BH33" s="437"/>
      <c r="BI33" s="437"/>
      <c r="BJ33" s="365"/>
      <c r="BK33" s="365"/>
      <c r="BL33" s="365"/>
      <c r="BM33" s="365"/>
      <c r="BN33" s="365"/>
      <c r="BO33" s="365"/>
      <c r="BP33" s="365"/>
      <c r="BQ33" s="366"/>
      <c r="BR33" s="120"/>
      <c r="BS33" s="120"/>
      <c r="BT33" s="34">
        <f t="shared" si="2"/>
        <v>0</v>
      </c>
    </row>
    <row r="34" spans="1:72" s="293" customFormat="1" hidden="1">
      <c r="A34" s="528"/>
      <c r="B34" s="831">
        <f>+Summary!A85</f>
        <v>0</v>
      </c>
      <c r="C34" s="436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  <c r="AT34" s="437"/>
      <c r="AU34" s="437"/>
      <c r="AV34" s="437"/>
      <c r="AW34" s="437"/>
      <c r="AX34" s="437"/>
      <c r="AY34" s="437"/>
      <c r="AZ34" s="437"/>
      <c r="BA34" s="437"/>
      <c r="BB34" s="437"/>
      <c r="BC34" s="437"/>
      <c r="BD34" s="437"/>
      <c r="BE34" s="437"/>
      <c r="BF34" s="437"/>
      <c r="BG34" s="437"/>
      <c r="BH34" s="437"/>
      <c r="BI34" s="437"/>
      <c r="BJ34" s="365"/>
      <c r="BK34" s="365"/>
      <c r="BL34" s="365"/>
      <c r="BM34" s="365"/>
      <c r="BN34" s="365"/>
      <c r="BO34" s="365"/>
      <c r="BP34" s="365"/>
      <c r="BQ34" s="366"/>
      <c r="BR34" s="120"/>
      <c r="BS34" s="120"/>
      <c r="BT34" s="34">
        <f t="shared" si="2"/>
        <v>0</v>
      </c>
    </row>
    <row r="35" spans="1:72" s="293" customFormat="1" hidden="1">
      <c r="A35" s="528"/>
      <c r="B35" s="831">
        <f>+Summary!A86</f>
        <v>0</v>
      </c>
      <c r="C35" s="436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37"/>
      <c r="AW35" s="437"/>
      <c r="AX35" s="437"/>
      <c r="AY35" s="437"/>
      <c r="AZ35" s="437"/>
      <c r="BA35" s="437"/>
      <c r="BB35" s="437"/>
      <c r="BC35" s="437"/>
      <c r="BD35" s="437"/>
      <c r="BE35" s="437"/>
      <c r="BF35" s="437"/>
      <c r="BG35" s="437"/>
      <c r="BH35" s="437"/>
      <c r="BI35" s="437"/>
      <c r="BJ35" s="365"/>
      <c r="BK35" s="365"/>
      <c r="BL35" s="365"/>
      <c r="BM35" s="365"/>
      <c r="BN35" s="365"/>
      <c r="BO35" s="365"/>
      <c r="BP35" s="365"/>
      <c r="BQ35" s="366"/>
      <c r="BR35" s="120"/>
      <c r="BS35" s="120"/>
      <c r="BT35" s="34">
        <f t="shared" si="2"/>
        <v>0</v>
      </c>
    </row>
    <row r="36" spans="1:72" s="293" customFormat="1" hidden="1">
      <c r="A36" s="528"/>
      <c r="B36" s="831">
        <f>+Summary!A87</f>
        <v>0</v>
      </c>
      <c r="C36" s="436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7"/>
      <c r="AX36" s="437"/>
      <c r="AY36" s="437"/>
      <c r="AZ36" s="437"/>
      <c r="BA36" s="437"/>
      <c r="BB36" s="437"/>
      <c r="BC36" s="437"/>
      <c r="BD36" s="437"/>
      <c r="BE36" s="437"/>
      <c r="BF36" s="437"/>
      <c r="BG36" s="437"/>
      <c r="BH36" s="437"/>
      <c r="BI36" s="437"/>
      <c r="BJ36" s="365"/>
      <c r="BK36" s="365"/>
      <c r="BL36" s="365"/>
      <c r="BM36" s="365"/>
      <c r="BN36" s="365"/>
      <c r="BO36" s="365"/>
      <c r="BP36" s="365"/>
      <c r="BQ36" s="366"/>
      <c r="BR36" s="120"/>
      <c r="BS36" s="120"/>
      <c r="BT36" s="34">
        <f t="shared" si="2"/>
        <v>0</v>
      </c>
    </row>
    <row r="37" spans="1:72" s="293" customFormat="1" hidden="1">
      <c r="A37" s="528"/>
      <c r="B37" s="618">
        <f>+Summary!A88</f>
        <v>0</v>
      </c>
      <c r="C37" s="436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7"/>
      <c r="BA37" s="437"/>
      <c r="BB37" s="437"/>
      <c r="BC37" s="437"/>
      <c r="BD37" s="437"/>
      <c r="BE37" s="437"/>
      <c r="BF37" s="437"/>
      <c r="BG37" s="437"/>
      <c r="BH37" s="437"/>
      <c r="BI37" s="437"/>
      <c r="BJ37" s="365"/>
      <c r="BK37" s="365"/>
      <c r="BL37" s="365"/>
      <c r="BM37" s="365"/>
      <c r="BN37" s="365"/>
      <c r="BO37" s="365"/>
      <c r="BP37" s="365"/>
      <c r="BQ37" s="366"/>
      <c r="BR37" s="120"/>
      <c r="BS37" s="120"/>
      <c r="BT37" s="34">
        <f t="shared" si="2"/>
        <v>0</v>
      </c>
    </row>
    <row r="38" spans="1:72" s="293" customFormat="1" hidden="1">
      <c r="A38" s="528"/>
      <c r="B38" s="618">
        <f>+Summary!A89</f>
        <v>0</v>
      </c>
      <c r="C38" s="436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37"/>
      <c r="AW38" s="437"/>
      <c r="AX38" s="437"/>
      <c r="AY38" s="437"/>
      <c r="AZ38" s="437"/>
      <c r="BA38" s="437"/>
      <c r="BB38" s="437"/>
      <c r="BC38" s="437"/>
      <c r="BD38" s="437"/>
      <c r="BE38" s="437"/>
      <c r="BF38" s="437"/>
      <c r="BG38" s="437"/>
      <c r="BH38" s="437"/>
      <c r="BI38" s="437"/>
      <c r="BJ38" s="365"/>
      <c r="BK38" s="365"/>
      <c r="BL38" s="365"/>
      <c r="BM38" s="365"/>
      <c r="BN38" s="365"/>
      <c r="BO38" s="365"/>
      <c r="BP38" s="365"/>
      <c r="BQ38" s="366"/>
      <c r="BR38" s="120"/>
      <c r="BS38" s="120"/>
      <c r="BT38" s="34">
        <f t="shared" ref="BT38:BT43" si="3">SUM(C38:BP38)</f>
        <v>0</v>
      </c>
    </row>
    <row r="39" spans="1:72" s="293" customFormat="1" hidden="1">
      <c r="A39" s="528"/>
      <c r="B39" s="618">
        <f>+Summary!A90</f>
        <v>0</v>
      </c>
      <c r="C39" s="436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37"/>
      <c r="AW39" s="437"/>
      <c r="AX39" s="437"/>
      <c r="AY39" s="437"/>
      <c r="AZ39" s="437"/>
      <c r="BA39" s="437"/>
      <c r="BB39" s="437"/>
      <c r="BC39" s="437"/>
      <c r="BD39" s="437"/>
      <c r="BE39" s="437"/>
      <c r="BF39" s="437"/>
      <c r="BG39" s="437"/>
      <c r="BH39" s="437"/>
      <c r="BI39" s="437"/>
      <c r="BJ39" s="365"/>
      <c r="BK39" s="365"/>
      <c r="BL39" s="365"/>
      <c r="BM39" s="365"/>
      <c r="BN39" s="365"/>
      <c r="BO39" s="365"/>
      <c r="BP39" s="365"/>
      <c r="BQ39" s="366"/>
      <c r="BR39" s="120"/>
      <c r="BS39" s="120"/>
      <c r="BT39" s="34">
        <f t="shared" si="3"/>
        <v>0</v>
      </c>
    </row>
    <row r="40" spans="1:72" s="293" customFormat="1" hidden="1">
      <c r="A40" s="535"/>
      <c r="B40" s="619">
        <f>+Summary!A91</f>
        <v>0</v>
      </c>
      <c r="C40" s="436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37"/>
      <c r="AW40" s="437"/>
      <c r="AX40" s="437"/>
      <c r="AY40" s="437"/>
      <c r="AZ40" s="437"/>
      <c r="BA40" s="437"/>
      <c r="BB40" s="437"/>
      <c r="BC40" s="437"/>
      <c r="BD40" s="437"/>
      <c r="BE40" s="437"/>
      <c r="BF40" s="437"/>
      <c r="BG40" s="437"/>
      <c r="BH40" s="437"/>
      <c r="BI40" s="437"/>
      <c r="BJ40" s="365"/>
      <c r="BK40" s="365"/>
      <c r="BL40" s="365"/>
      <c r="BM40" s="365"/>
      <c r="BN40" s="365"/>
      <c r="BO40" s="365"/>
      <c r="BP40" s="365"/>
      <c r="BQ40" s="366"/>
      <c r="BR40" s="120"/>
      <c r="BS40" s="120"/>
      <c r="BT40" s="34">
        <f t="shared" si="3"/>
        <v>0</v>
      </c>
    </row>
    <row r="41" spans="1:72" s="293" customFormat="1" hidden="1">
      <c r="A41" s="535"/>
      <c r="B41" s="618">
        <f>+Summary!A92</f>
        <v>0</v>
      </c>
      <c r="C41" s="436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37"/>
      <c r="AW41" s="437"/>
      <c r="AX41" s="437"/>
      <c r="AY41" s="437"/>
      <c r="AZ41" s="437"/>
      <c r="BA41" s="437"/>
      <c r="BB41" s="437"/>
      <c r="BC41" s="437"/>
      <c r="BD41" s="437"/>
      <c r="BE41" s="437"/>
      <c r="BF41" s="437"/>
      <c r="BG41" s="437"/>
      <c r="BH41" s="437"/>
      <c r="BI41" s="437"/>
      <c r="BJ41" s="365"/>
      <c r="BK41" s="365"/>
      <c r="BL41" s="365"/>
      <c r="BM41" s="365"/>
      <c r="BN41" s="365"/>
      <c r="BO41" s="365"/>
      <c r="BP41" s="365"/>
      <c r="BQ41" s="366"/>
      <c r="BR41" s="120"/>
      <c r="BS41" s="120"/>
      <c r="BT41" s="34">
        <f t="shared" si="3"/>
        <v>0</v>
      </c>
    </row>
    <row r="42" spans="1:72" s="293" customFormat="1" hidden="1">
      <c r="A42" s="530"/>
      <c r="B42" s="618">
        <f>+Summary!A93</f>
        <v>0</v>
      </c>
      <c r="C42" s="436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7"/>
      <c r="AR42" s="437"/>
      <c r="AS42" s="437"/>
      <c r="AT42" s="437"/>
      <c r="AU42" s="437"/>
      <c r="AV42" s="437"/>
      <c r="AW42" s="437"/>
      <c r="AX42" s="437"/>
      <c r="AY42" s="437"/>
      <c r="AZ42" s="437"/>
      <c r="BA42" s="437"/>
      <c r="BB42" s="437"/>
      <c r="BC42" s="437"/>
      <c r="BD42" s="437"/>
      <c r="BE42" s="437"/>
      <c r="BF42" s="437"/>
      <c r="BG42" s="437"/>
      <c r="BH42" s="437"/>
      <c r="BI42" s="437"/>
      <c r="BJ42" s="365"/>
      <c r="BK42" s="365"/>
      <c r="BL42" s="365"/>
      <c r="BM42" s="365"/>
      <c r="BN42" s="365"/>
      <c r="BO42" s="365"/>
      <c r="BP42" s="365"/>
      <c r="BQ42" s="366"/>
      <c r="BR42" s="120"/>
      <c r="BS42" s="120"/>
      <c r="BT42" s="34">
        <f t="shared" si="3"/>
        <v>0</v>
      </c>
    </row>
    <row r="43" spans="1:72" s="293" customFormat="1" hidden="1">
      <c r="A43" s="529"/>
      <c r="B43" s="618">
        <f>+Summary!A94</f>
        <v>0</v>
      </c>
      <c r="C43" s="436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J43" s="437"/>
      <c r="AK43" s="437"/>
      <c r="AL43" s="437"/>
      <c r="AM43" s="437"/>
      <c r="AN43" s="437"/>
      <c r="AO43" s="437"/>
      <c r="AP43" s="437"/>
      <c r="AQ43" s="437"/>
      <c r="AR43" s="437"/>
      <c r="AS43" s="437"/>
      <c r="AT43" s="437"/>
      <c r="AU43" s="437"/>
      <c r="AV43" s="437"/>
      <c r="AW43" s="437"/>
      <c r="AX43" s="437"/>
      <c r="AY43" s="437"/>
      <c r="AZ43" s="437"/>
      <c r="BA43" s="437"/>
      <c r="BB43" s="437"/>
      <c r="BC43" s="437"/>
      <c r="BD43" s="437"/>
      <c r="BE43" s="437"/>
      <c r="BF43" s="437"/>
      <c r="BG43" s="437"/>
      <c r="BH43" s="437"/>
      <c r="BI43" s="437"/>
      <c r="BJ43" s="365"/>
      <c r="BK43" s="365"/>
      <c r="BL43" s="365"/>
      <c r="BM43" s="365"/>
      <c r="BN43" s="365"/>
      <c r="BO43" s="365"/>
      <c r="BP43" s="365"/>
      <c r="BQ43" s="366"/>
      <c r="BR43" s="120"/>
      <c r="BS43" s="120"/>
      <c r="BT43" s="34">
        <f t="shared" si="3"/>
        <v>0</v>
      </c>
    </row>
    <row r="44" spans="1:72" s="293" customFormat="1">
      <c r="A44" s="529"/>
      <c r="B44" s="618" t="e">
        <f>+Summary!#REF!</f>
        <v>#REF!</v>
      </c>
      <c r="C44" s="436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437"/>
      <c r="BB44" s="437"/>
      <c r="BC44" s="437"/>
      <c r="BD44" s="437"/>
      <c r="BE44" s="437"/>
      <c r="BF44" s="437"/>
      <c r="BG44" s="437"/>
      <c r="BH44" s="437"/>
      <c r="BI44" s="437"/>
      <c r="BJ44" s="365"/>
      <c r="BK44" s="365"/>
      <c r="BL44" s="365"/>
      <c r="BM44" s="365"/>
      <c r="BN44" s="365"/>
      <c r="BO44" s="365"/>
      <c r="BP44" s="365"/>
      <c r="BQ44" s="366"/>
      <c r="BR44" s="120"/>
      <c r="BS44" s="120"/>
      <c r="BT44" s="34">
        <f t="shared" ref="BT44:BT55" si="4">SUM(C44:BP44)</f>
        <v>0</v>
      </c>
    </row>
    <row r="45" spans="1:72" s="293" customFormat="1" hidden="1">
      <c r="A45" s="529">
        <v>65</v>
      </c>
      <c r="B45" s="618" t="e">
        <f>+Summary!#REF!</f>
        <v>#REF!</v>
      </c>
      <c r="C45" s="436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437"/>
      <c r="AK45" s="437"/>
      <c r="AL45" s="437"/>
      <c r="AM45" s="437"/>
      <c r="AN45" s="437"/>
      <c r="AO45" s="437"/>
      <c r="AP45" s="437"/>
      <c r="AQ45" s="437"/>
      <c r="AR45" s="437"/>
      <c r="AS45" s="437"/>
      <c r="AT45" s="437"/>
      <c r="AU45" s="437"/>
      <c r="AV45" s="437"/>
      <c r="AW45" s="437"/>
      <c r="AX45" s="437"/>
      <c r="AY45" s="437"/>
      <c r="AZ45" s="437"/>
      <c r="BA45" s="437"/>
      <c r="BB45" s="437"/>
      <c r="BC45" s="437"/>
      <c r="BD45" s="437"/>
      <c r="BE45" s="437"/>
      <c r="BF45" s="437"/>
      <c r="BG45" s="437"/>
      <c r="BH45" s="437"/>
      <c r="BI45" s="437"/>
      <c r="BJ45" s="365"/>
      <c r="BK45" s="365"/>
      <c r="BL45" s="365"/>
      <c r="BM45" s="365"/>
      <c r="BN45" s="365"/>
      <c r="BO45" s="365"/>
      <c r="BP45" s="365"/>
      <c r="BQ45" s="366"/>
      <c r="BR45" s="120"/>
      <c r="BS45" s="120"/>
      <c r="BT45" s="34">
        <f t="shared" si="4"/>
        <v>0</v>
      </c>
    </row>
    <row r="46" spans="1:72" s="293" customFormat="1" hidden="1">
      <c r="A46" s="529"/>
      <c r="B46" s="618" t="e">
        <f>+Summary!#REF!</f>
        <v>#REF!</v>
      </c>
      <c r="C46" s="436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7"/>
      <c r="AX46" s="437"/>
      <c r="AY46" s="437"/>
      <c r="AZ46" s="437"/>
      <c r="BA46" s="437"/>
      <c r="BB46" s="437"/>
      <c r="BC46" s="437"/>
      <c r="BD46" s="437"/>
      <c r="BE46" s="437"/>
      <c r="BF46" s="437"/>
      <c r="BG46" s="437"/>
      <c r="BH46" s="437"/>
      <c r="BI46" s="437"/>
      <c r="BJ46" s="365"/>
      <c r="BK46" s="365"/>
      <c r="BL46" s="365"/>
      <c r="BM46" s="365"/>
      <c r="BN46" s="365"/>
      <c r="BO46" s="365"/>
      <c r="BP46" s="365"/>
      <c r="BQ46" s="366" t="s">
        <v>159</v>
      </c>
      <c r="BR46" s="120"/>
      <c r="BS46" s="120"/>
      <c r="BT46" s="34">
        <f t="shared" si="4"/>
        <v>0</v>
      </c>
    </row>
    <row r="47" spans="1:72" s="293" customFormat="1" hidden="1">
      <c r="A47" s="529">
        <v>41</v>
      </c>
      <c r="B47" s="618" t="e">
        <f>+Summary!#REF!</f>
        <v>#REF!</v>
      </c>
      <c r="C47" s="436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37"/>
      <c r="AL47" s="437"/>
      <c r="AM47" s="437"/>
      <c r="AN47" s="437"/>
      <c r="AO47" s="437"/>
      <c r="AP47" s="437"/>
      <c r="AQ47" s="437"/>
      <c r="AR47" s="437"/>
      <c r="AS47" s="437"/>
      <c r="AT47" s="437"/>
      <c r="AU47" s="437"/>
      <c r="AV47" s="437"/>
      <c r="AW47" s="437"/>
      <c r="AX47" s="437"/>
      <c r="AY47" s="437"/>
      <c r="AZ47" s="437"/>
      <c r="BA47" s="437"/>
      <c r="BB47" s="437"/>
      <c r="BC47" s="437"/>
      <c r="BD47" s="437"/>
      <c r="BE47" s="437"/>
      <c r="BF47" s="437"/>
      <c r="BG47" s="437"/>
      <c r="BH47" s="437"/>
      <c r="BI47" s="437"/>
      <c r="BJ47" s="365"/>
      <c r="BK47" s="365"/>
      <c r="BL47" s="365"/>
      <c r="BM47" s="365"/>
      <c r="BN47" s="365"/>
      <c r="BO47" s="365"/>
      <c r="BP47" s="365"/>
      <c r="BQ47" s="366"/>
      <c r="BR47" s="120"/>
      <c r="BS47" s="120"/>
      <c r="BT47" s="34">
        <f t="shared" si="4"/>
        <v>0</v>
      </c>
    </row>
    <row r="48" spans="1:72" s="293" customFormat="1" hidden="1">
      <c r="A48" s="529">
        <v>46</v>
      </c>
      <c r="B48" s="618" t="e">
        <f>+Summary!#REF!</f>
        <v>#REF!</v>
      </c>
      <c r="C48" s="436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7"/>
      <c r="AM48" s="437"/>
      <c r="AN48" s="437"/>
      <c r="AO48" s="437"/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7"/>
      <c r="BF48" s="437"/>
      <c r="BG48" s="437"/>
      <c r="BH48" s="437"/>
      <c r="BI48" s="437"/>
      <c r="BJ48" s="365"/>
      <c r="BK48" s="365"/>
      <c r="BL48" s="365"/>
      <c r="BM48" s="365"/>
      <c r="BN48" s="365"/>
      <c r="BO48" s="365"/>
      <c r="BP48" s="365"/>
      <c r="BQ48" s="366"/>
      <c r="BR48" s="120"/>
      <c r="BS48" s="120"/>
      <c r="BT48" s="34">
        <f t="shared" si="4"/>
        <v>0</v>
      </c>
    </row>
    <row r="49" spans="1:72" s="293" customFormat="1" hidden="1">
      <c r="A49" s="529"/>
      <c r="B49" s="618" t="e">
        <f>+Summary!#REF!</f>
        <v>#REF!</v>
      </c>
      <c r="C49" s="436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437"/>
      <c r="X49" s="437"/>
      <c r="Y49" s="437"/>
      <c r="Z49" s="437"/>
      <c r="AA49" s="437"/>
      <c r="AB49" s="437"/>
      <c r="AC49" s="437"/>
      <c r="AD49" s="437"/>
      <c r="AE49" s="437"/>
      <c r="AF49" s="437"/>
      <c r="AG49" s="437"/>
      <c r="AH49" s="437"/>
      <c r="AI49" s="437"/>
      <c r="AJ49" s="437"/>
      <c r="AK49" s="437"/>
      <c r="AL49" s="437"/>
      <c r="AM49" s="437"/>
      <c r="AN49" s="437"/>
      <c r="AO49" s="437"/>
      <c r="AP49" s="437"/>
      <c r="AQ49" s="437"/>
      <c r="AR49" s="437"/>
      <c r="AS49" s="437"/>
      <c r="AT49" s="437"/>
      <c r="AU49" s="437"/>
      <c r="AV49" s="437"/>
      <c r="AW49" s="437"/>
      <c r="AX49" s="437"/>
      <c r="AY49" s="437"/>
      <c r="AZ49" s="437"/>
      <c r="BA49" s="437"/>
      <c r="BB49" s="437"/>
      <c r="BC49" s="437"/>
      <c r="BD49" s="437"/>
      <c r="BE49" s="437"/>
      <c r="BF49" s="437"/>
      <c r="BG49" s="437"/>
      <c r="BH49" s="437"/>
      <c r="BI49" s="437"/>
      <c r="BJ49" s="365"/>
      <c r="BK49" s="365"/>
      <c r="BL49" s="365"/>
      <c r="BM49" s="365"/>
      <c r="BN49" s="365"/>
      <c r="BO49" s="365"/>
      <c r="BP49" s="365"/>
      <c r="BQ49" s="366"/>
      <c r="BR49" s="120"/>
      <c r="BS49" s="120"/>
      <c r="BT49" s="34">
        <f t="shared" si="4"/>
        <v>0</v>
      </c>
    </row>
    <row r="50" spans="1:72" s="293" customFormat="1" hidden="1">
      <c r="A50" s="529">
        <v>33</v>
      </c>
      <c r="B50" s="618" t="e">
        <f>+Summary!#REF!</f>
        <v>#REF!</v>
      </c>
      <c r="C50" s="436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37"/>
      <c r="AW50" s="437"/>
      <c r="AX50" s="437"/>
      <c r="AY50" s="437"/>
      <c r="AZ50" s="437"/>
      <c r="BA50" s="437"/>
      <c r="BB50" s="437"/>
      <c r="BC50" s="437"/>
      <c r="BD50" s="437"/>
      <c r="BE50" s="437"/>
      <c r="BF50" s="437"/>
      <c r="BG50" s="437"/>
      <c r="BH50" s="437"/>
      <c r="BI50" s="437"/>
      <c r="BJ50" s="365"/>
      <c r="BK50" s="365"/>
      <c r="BL50" s="365"/>
      <c r="BM50" s="365"/>
      <c r="BN50" s="365"/>
      <c r="BO50" s="365"/>
      <c r="BP50" s="365"/>
      <c r="BQ50" s="366"/>
      <c r="BR50" s="120"/>
      <c r="BS50" s="120"/>
      <c r="BT50" s="34">
        <f t="shared" si="4"/>
        <v>0</v>
      </c>
    </row>
    <row r="51" spans="1:72" s="293" customFormat="1" hidden="1">
      <c r="A51" s="529">
        <v>40</v>
      </c>
      <c r="B51" s="618" t="e">
        <f>+Summary!#REF!</f>
        <v>#REF!</v>
      </c>
      <c r="C51" s="436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7"/>
      <c r="AL51" s="437"/>
      <c r="AM51" s="437"/>
      <c r="AN51" s="437"/>
      <c r="AO51" s="437"/>
      <c r="AP51" s="437"/>
      <c r="AQ51" s="437"/>
      <c r="AR51" s="437"/>
      <c r="AS51" s="437"/>
      <c r="AT51" s="437"/>
      <c r="AU51" s="437"/>
      <c r="AV51" s="437"/>
      <c r="AW51" s="437"/>
      <c r="AX51" s="437"/>
      <c r="AY51" s="437"/>
      <c r="AZ51" s="437"/>
      <c r="BA51" s="437"/>
      <c r="BB51" s="437"/>
      <c r="BC51" s="437"/>
      <c r="BD51" s="437"/>
      <c r="BE51" s="437"/>
      <c r="BF51" s="437"/>
      <c r="BG51" s="437"/>
      <c r="BH51" s="437"/>
      <c r="BI51" s="437"/>
      <c r="BJ51" s="365"/>
      <c r="BK51" s="365"/>
      <c r="BL51" s="365"/>
      <c r="BM51" s="365"/>
      <c r="BN51" s="365"/>
      <c r="BO51" s="365"/>
      <c r="BP51" s="365"/>
      <c r="BQ51" s="366"/>
      <c r="BR51" s="120"/>
      <c r="BS51" s="120"/>
      <c r="BT51" s="34">
        <f t="shared" si="4"/>
        <v>0</v>
      </c>
    </row>
    <row r="52" spans="1:72" s="293" customFormat="1" hidden="1">
      <c r="A52" s="529">
        <v>42</v>
      </c>
      <c r="B52" s="618" t="e">
        <f>+Summary!#REF!</f>
        <v>#REF!</v>
      </c>
      <c r="C52" s="436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37"/>
      <c r="AW52" s="437"/>
      <c r="AX52" s="437"/>
      <c r="AY52" s="437"/>
      <c r="AZ52" s="437"/>
      <c r="BA52" s="437"/>
      <c r="BB52" s="437"/>
      <c r="BC52" s="437"/>
      <c r="BD52" s="437"/>
      <c r="BE52" s="437"/>
      <c r="BF52" s="437"/>
      <c r="BG52" s="437"/>
      <c r="BH52" s="437"/>
      <c r="BI52" s="437"/>
      <c r="BJ52" s="365"/>
      <c r="BK52" s="365"/>
      <c r="BL52" s="365"/>
      <c r="BM52" s="365"/>
      <c r="BN52" s="365"/>
      <c r="BO52" s="365"/>
      <c r="BP52" s="365"/>
      <c r="BQ52" s="366"/>
      <c r="BR52" s="120"/>
      <c r="BS52" s="120"/>
      <c r="BT52" s="34">
        <f t="shared" si="4"/>
        <v>0</v>
      </c>
    </row>
    <row r="53" spans="1:72" s="293" customFormat="1" hidden="1">
      <c r="A53" s="529">
        <v>59</v>
      </c>
      <c r="B53" s="618" t="e">
        <f>+Summary!#REF!</f>
        <v>#REF!</v>
      </c>
      <c r="C53" s="436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7"/>
      <c r="AO53" s="437"/>
      <c r="AP53" s="437"/>
      <c r="AQ53" s="437"/>
      <c r="AR53" s="437"/>
      <c r="AS53" s="437"/>
      <c r="AT53" s="437"/>
      <c r="AU53" s="437"/>
      <c r="AV53" s="437"/>
      <c r="AW53" s="437"/>
      <c r="AX53" s="437"/>
      <c r="AY53" s="437"/>
      <c r="AZ53" s="437"/>
      <c r="BA53" s="437"/>
      <c r="BB53" s="437"/>
      <c r="BC53" s="437"/>
      <c r="BD53" s="437"/>
      <c r="BE53" s="437"/>
      <c r="BF53" s="437"/>
      <c r="BG53" s="437"/>
      <c r="BH53" s="437"/>
      <c r="BI53" s="437"/>
      <c r="BJ53" s="365"/>
      <c r="BK53" s="365"/>
      <c r="BL53" s="365"/>
      <c r="BM53" s="365"/>
      <c r="BN53" s="365"/>
      <c r="BO53" s="365"/>
      <c r="BP53" s="365"/>
      <c r="BQ53" s="366"/>
      <c r="BR53" s="120"/>
      <c r="BS53" s="120"/>
      <c r="BT53" s="34">
        <f t="shared" si="4"/>
        <v>0</v>
      </c>
    </row>
    <row r="54" spans="1:72" s="293" customFormat="1" ht="7.5" hidden="1" thickBot="1">
      <c r="A54" s="527">
        <v>61</v>
      </c>
      <c r="B54" s="620" t="e">
        <f>+Summary!#REF!</f>
        <v>#REF!</v>
      </c>
      <c r="C54" s="616"/>
      <c r="D54" s="469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69"/>
      <c r="T54" s="470"/>
      <c r="U54" s="470"/>
      <c r="V54" s="470"/>
      <c r="W54" s="470"/>
      <c r="X54" s="470"/>
      <c r="Y54" s="470"/>
      <c r="Z54" s="470"/>
      <c r="AA54" s="470"/>
      <c r="AB54" s="470"/>
      <c r="AC54" s="470"/>
      <c r="AD54" s="470"/>
      <c r="AE54" s="470"/>
      <c r="AF54" s="470"/>
      <c r="AG54" s="470"/>
      <c r="AH54" s="470"/>
      <c r="AI54" s="470"/>
      <c r="AJ54" s="470"/>
      <c r="AK54" s="470"/>
      <c r="AL54" s="470"/>
      <c r="AM54" s="470"/>
      <c r="AN54" s="470"/>
      <c r="AO54" s="470"/>
      <c r="AP54" s="470"/>
      <c r="AQ54" s="470"/>
      <c r="AR54" s="470"/>
      <c r="AS54" s="470"/>
      <c r="AT54" s="470"/>
      <c r="AU54" s="470"/>
      <c r="AV54" s="470"/>
      <c r="AW54" s="470"/>
      <c r="AX54" s="470"/>
      <c r="AY54" s="470"/>
      <c r="AZ54" s="470"/>
      <c r="BA54" s="470"/>
      <c r="BB54" s="470"/>
      <c r="BC54" s="470"/>
      <c r="BD54" s="470"/>
      <c r="BE54" s="470"/>
      <c r="BF54" s="470"/>
      <c r="BG54" s="470"/>
      <c r="BH54" s="470"/>
      <c r="BI54" s="470"/>
      <c r="BJ54" s="25"/>
      <c r="BK54" s="25"/>
      <c r="BL54" s="25"/>
      <c r="BM54" s="25"/>
      <c r="BN54" s="25"/>
      <c r="BO54" s="25"/>
      <c r="BP54" s="25"/>
      <c r="BQ54" s="471"/>
      <c r="BR54" s="120"/>
      <c r="BS54" s="120"/>
      <c r="BT54" s="34">
        <f t="shared" si="4"/>
        <v>0</v>
      </c>
    </row>
    <row r="55" spans="1:72" s="293" customFormat="1" ht="11" thickBot="1">
      <c r="A55" s="473"/>
      <c r="B55" s="621" t="s">
        <v>78</v>
      </c>
      <c r="C55" s="617">
        <f t="shared" ref="C55:AH55" si="5">SUM(C5:C54)</f>
        <v>0</v>
      </c>
      <c r="D55" s="466">
        <f t="shared" si="5"/>
        <v>0</v>
      </c>
      <c r="E55" s="467">
        <f t="shared" si="5"/>
        <v>0</v>
      </c>
      <c r="F55" s="467">
        <f t="shared" si="5"/>
        <v>0</v>
      </c>
      <c r="G55" s="467">
        <f t="shared" si="5"/>
        <v>0</v>
      </c>
      <c r="H55" s="467">
        <f t="shared" si="5"/>
        <v>0</v>
      </c>
      <c r="I55" s="467">
        <f t="shared" si="5"/>
        <v>0</v>
      </c>
      <c r="J55" s="467">
        <f t="shared" si="5"/>
        <v>0</v>
      </c>
      <c r="K55" s="467">
        <f t="shared" si="5"/>
        <v>0</v>
      </c>
      <c r="L55" s="467">
        <f t="shared" si="5"/>
        <v>413.79</v>
      </c>
      <c r="M55" s="467">
        <f t="shared" si="5"/>
        <v>0</v>
      </c>
      <c r="N55" s="467">
        <f t="shared" si="5"/>
        <v>325</v>
      </c>
      <c r="O55" s="467">
        <f t="shared" si="5"/>
        <v>0</v>
      </c>
      <c r="P55" s="467">
        <f t="shared" si="5"/>
        <v>0</v>
      </c>
      <c r="Q55" s="467">
        <f t="shared" si="5"/>
        <v>63.510000000000005</v>
      </c>
      <c r="R55" s="467">
        <f t="shared" si="5"/>
        <v>0</v>
      </c>
      <c r="S55" s="466">
        <f t="shared" si="5"/>
        <v>0</v>
      </c>
      <c r="T55" s="467">
        <f t="shared" si="5"/>
        <v>0</v>
      </c>
      <c r="U55" s="467">
        <f t="shared" si="5"/>
        <v>0</v>
      </c>
      <c r="V55" s="467">
        <f t="shared" si="5"/>
        <v>0</v>
      </c>
      <c r="W55" s="467">
        <f t="shared" si="5"/>
        <v>0</v>
      </c>
      <c r="X55" s="467">
        <f t="shared" si="5"/>
        <v>0</v>
      </c>
      <c r="Y55" s="467">
        <f t="shared" si="5"/>
        <v>0</v>
      </c>
      <c r="Z55" s="467">
        <f t="shared" si="5"/>
        <v>37.15</v>
      </c>
      <c r="AA55" s="467">
        <f t="shared" si="5"/>
        <v>0</v>
      </c>
      <c r="AB55" s="467">
        <f t="shared" si="5"/>
        <v>0</v>
      </c>
      <c r="AC55" s="467">
        <f t="shared" si="5"/>
        <v>0</v>
      </c>
      <c r="AD55" s="467">
        <f t="shared" si="5"/>
        <v>0</v>
      </c>
      <c r="AE55" s="467">
        <f t="shared" si="5"/>
        <v>0</v>
      </c>
      <c r="AF55" s="467">
        <f t="shared" si="5"/>
        <v>0</v>
      </c>
      <c r="AG55" s="467">
        <f t="shared" si="5"/>
        <v>3</v>
      </c>
      <c r="AH55" s="467">
        <f t="shared" si="5"/>
        <v>0</v>
      </c>
      <c r="AI55" s="467">
        <f t="shared" ref="AI55:BN55" si="6">SUM(AI5:AI54)</f>
        <v>0</v>
      </c>
      <c r="AJ55" s="467">
        <f t="shared" si="6"/>
        <v>0</v>
      </c>
      <c r="AK55" s="467">
        <f t="shared" si="6"/>
        <v>0</v>
      </c>
      <c r="AL55" s="467">
        <f t="shared" si="6"/>
        <v>0</v>
      </c>
      <c r="AM55" s="467">
        <f t="shared" si="6"/>
        <v>0</v>
      </c>
      <c r="AN55" s="467">
        <f t="shared" si="6"/>
        <v>0</v>
      </c>
      <c r="AO55" s="467">
        <f t="shared" si="6"/>
        <v>0</v>
      </c>
      <c r="AP55" s="467">
        <f t="shared" si="6"/>
        <v>0</v>
      </c>
      <c r="AQ55" s="467">
        <f t="shared" si="6"/>
        <v>0</v>
      </c>
      <c r="AR55" s="467">
        <f t="shared" si="6"/>
        <v>0</v>
      </c>
      <c r="AS55" s="467">
        <f t="shared" si="6"/>
        <v>0</v>
      </c>
      <c r="AT55" s="467">
        <f t="shared" si="6"/>
        <v>0</v>
      </c>
      <c r="AU55" s="467">
        <f t="shared" si="6"/>
        <v>0</v>
      </c>
      <c r="AV55" s="467">
        <f t="shared" si="6"/>
        <v>0</v>
      </c>
      <c r="AW55" s="467">
        <f t="shared" si="6"/>
        <v>0</v>
      </c>
      <c r="AX55" s="467">
        <f t="shared" si="6"/>
        <v>0</v>
      </c>
      <c r="AY55" s="467">
        <f t="shared" si="6"/>
        <v>0</v>
      </c>
      <c r="AZ55" s="467">
        <f t="shared" si="6"/>
        <v>0</v>
      </c>
      <c r="BA55" s="467">
        <f t="shared" si="6"/>
        <v>0</v>
      </c>
      <c r="BB55" s="467">
        <f t="shared" si="6"/>
        <v>0</v>
      </c>
      <c r="BC55" s="467">
        <f t="shared" si="6"/>
        <v>0</v>
      </c>
      <c r="BD55" s="467">
        <f t="shared" si="6"/>
        <v>0</v>
      </c>
      <c r="BE55" s="467">
        <f t="shared" si="6"/>
        <v>0</v>
      </c>
      <c r="BF55" s="467">
        <f t="shared" si="6"/>
        <v>0</v>
      </c>
      <c r="BG55" s="467">
        <f t="shared" si="6"/>
        <v>0</v>
      </c>
      <c r="BH55" s="467">
        <f t="shared" si="6"/>
        <v>0</v>
      </c>
      <c r="BI55" s="467">
        <f t="shared" si="6"/>
        <v>0</v>
      </c>
      <c r="BJ55" s="467">
        <f t="shared" si="6"/>
        <v>0</v>
      </c>
      <c r="BK55" s="467">
        <f t="shared" si="6"/>
        <v>0</v>
      </c>
      <c r="BL55" s="467">
        <f t="shared" si="6"/>
        <v>0</v>
      </c>
      <c r="BM55" s="467">
        <f t="shared" si="6"/>
        <v>0</v>
      </c>
      <c r="BN55" s="467">
        <f t="shared" si="6"/>
        <v>0</v>
      </c>
      <c r="BO55" s="467">
        <f>SUM(BO5:BO54)</f>
        <v>0</v>
      </c>
      <c r="BP55" s="467">
        <f>SUM(BP5:BP54)</f>
        <v>0</v>
      </c>
      <c r="BQ55" s="468"/>
      <c r="BR55" s="120"/>
      <c r="BS55" s="120"/>
      <c r="BT55" s="34">
        <f t="shared" si="4"/>
        <v>842.44999999999993</v>
      </c>
    </row>
    <row r="56" spans="1:72" s="293" customFormat="1" ht="7.5" thickTop="1">
      <c r="A56" s="473"/>
      <c r="B56" s="29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120"/>
      <c r="BR56" s="120"/>
      <c r="BS56" s="120"/>
      <c r="BT56" s="31"/>
    </row>
    <row r="57" spans="1:72" s="293" customFormat="1">
      <c r="A57" s="473"/>
      <c r="B57" s="295"/>
      <c r="BQ57" s="296"/>
      <c r="BR57" s="296"/>
      <c r="BS57" s="296"/>
    </row>
    <row r="58" spans="1:72" s="293" customFormat="1" hidden="1">
      <c r="A58" s="473"/>
      <c r="B58" s="295"/>
      <c r="C58" s="237" t="str">
        <f t="shared" ref="C58:AG58" si="7">IF(SUM(C5:C55)=0,"HIDE","")</f>
        <v>HIDE</v>
      </c>
      <c r="D58" s="237" t="str">
        <f t="shared" si="7"/>
        <v>HIDE</v>
      </c>
      <c r="E58" s="237" t="str">
        <f t="shared" si="7"/>
        <v>HIDE</v>
      </c>
      <c r="F58" s="237" t="str">
        <f t="shared" si="7"/>
        <v>HIDE</v>
      </c>
      <c r="G58" s="237" t="str">
        <f t="shared" si="7"/>
        <v>HIDE</v>
      </c>
      <c r="H58" s="237" t="str">
        <f t="shared" si="7"/>
        <v>HIDE</v>
      </c>
      <c r="I58" s="237" t="str">
        <f t="shared" si="7"/>
        <v>HIDE</v>
      </c>
      <c r="J58" s="237" t="str">
        <f t="shared" si="7"/>
        <v>HIDE</v>
      </c>
      <c r="K58" s="237" t="str">
        <f t="shared" si="7"/>
        <v>HIDE</v>
      </c>
      <c r="L58" s="237" t="str">
        <f t="shared" si="7"/>
        <v/>
      </c>
      <c r="M58" s="237" t="str">
        <f t="shared" si="7"/>
        <v>HIDE</v>
      </c>
      <c r="N58" s="237" t="str">
        <f t="shared" si="7"/>
        <v/>
      </c>
      <c r="O58" s="237" t="str">
        <f t="shared" si="7"/>
        <v>HIDE</v>
      </c>
      <c r="P58" s="237" t="str">
        <f t="shared" si="7"/>
        <v>HIDE</v>
      </c>
      <c r="Q58" s="237" t="str">
        <f t="shared" si="7"/>
        <v/>
      </c>
      <c r="R58" s="237" t="str">
        <f t="shared" si="7"/>
        <v>HIDE</v>
      </c>
      <c r="S58" s="237" t="str">
        <f t="shared" si="7"/>
        <v>HIDE</v>
      </c>
      <c r="T58" s="237" t="str">
        <f t="shared" si="7"/>
        <v>HIDE</v>
      </c>
      <c r="U58" s="237" t="str">
        <f t="shared" si="7"/>
        <v>HIDE</v>
      </c>
      <c r="V58" s="237" t="str">
        <f t="shared" si="7"/>
        <v>HIDE</v>
      </c>
      <c r="W58" s="237" t="str">
        <f t="shared" si="7"/>
        <v>HIDE</v>
      </c>
      <c r="X58" s="237" t="str">
        <f t="shared" si="7"/>
        <v>HIDE</v>
      </c>
      <c r="Y58" s="237" t="str">
        <f t="shared" si="7"/>
        <v>HIDE</v>
      </c>
      <c r="Z58" s="237" t="str">
        <f t="shared" si="7"/>
        <v/>
      </c>
      <c r="AA58" s="237" t="str">
        <f t="shared" si="7"/>
        <v>HIDE</v>
      </c>
      <c r="AB58" s="237" t="str">
        <f t="shared" si="7"/>
        <v>HIDE</v>
      </c>
      <c r="AC58" s="237" t="str">
        <f t="shared" si="7"/>
        <v>HIDE</v>
      </c>
      <c r="AD58" s="237" t="str">
        <f t="shared" si="7"/>
        <v>HIDE</v>
      </c>
      <c r="AE58" s="237" t="str">
        <f t="shared" si="7"/>
        <v>HIDE</v>
      </c>
      <c r="AF58" s="237" t="str">
        <f t="shared" si="7"/>
        <v>HIDE</v>
      </c>
      <c r="AG58" s="237" t="str">
        <f t="shared" si="7"/>
        <v/>
      </c>
      <c r="AH58" s="237" t="str">
        <f t="shared" ref="AH58:BP58" si="8">IF(SUM(AH5:AH55)=0,"HIDE","")</f>
        <v>HIDE</v>
      </c>
      <c r="AI58" s="237" t="str">
        <f t="shared" si="8"/>
        <v>HIDE</v>
      </c>
      <c r="AJ58" s="237" t="str">
        <f t="shared" si="8"/>
        <v>HIDE</v>
      </c>
      <c r="AK58" s="237" t="str">
        <f t="shared" si="8"/>
        <v>HIDE</v>
      </c>
      <c r="AL58" s="237" t="str">
        <f t="shared" si="8"/>
        <v>HIDE</v>
      </c>
      <c r="AM58" s="237" t="str">
        <f t="shared" si="8"/>
        <v>HIDE</v>
      </c>
      <c r="AN58" s="237" t="str">
        <f t="shared" si="8"/>
        <v>HIDE</v>
      </c>
      <c r="AO58" s="237" t="str">
        <f t="shared" si="8"/>
        <v>HIDE</v>
      </c>
      <c r="AP58" s="237" t="str">
        <f t="shared" si="8"/>
        <v>HIDE</v>
      </c>
      <c r="AQ58" s="237" t="str">
        <f t="shared" si="8"/>
        <v>HIDE</v>
      </c>
      <c r="AR58" s="237" t="str">
        <f t="shared" si="8"/>
        <v>HIDE</v>
      </c>
      <c r="AS58" s="237" t="str">
        <f t="shared" si="8"/>
        <v>HIDE</v>
      </c>
      <c r="AT58" s="237" t="str">
        <f t="shared" si="8"/>
        <v>HIDE</v>
      </c>
      <c r="AU58" s="237" t="str">
        <f t="shared" si="8"/>
        <v>HIDE</v>
      </c>
      <c r="AV58" s="237" t="str">
        <f t="shared" si="8"/>
        <v>HIDE</v>
      </c>
      <c r="AW58" s="237" t="str">
        <f t="shared" si="8"/>
        <v>HIDE</v>
      </c>
      <c r="AX58" s="237" t="str">
        <f t="shared" si="8"/>
        <v>HIDE</v>
      </c>
      <c r="AY58" s="237" t="str">
        <f t="shared" si="8"/>
        <v>HIDE</v>
      </c>
      <c r="AZ58" s="237" t="str">
        <f t="shared" si="8"/>
        <v>HIDE</v>
      </c>
      <c r="BA58" s="237" t="str">
        <f t="shared" si="8"/>
        <v>HIDE</v>
      </c>
      <c r="BB58" s="237" t="str">
        <f t="shared" si="8"/>
        <v>HIDE</v>
      </c>
      <c r="BC58" s="237" t="str">
        <f t="shared" si="8"/>
        <v>HIDE</v>
      </c>
      <c r="BD58" s="237" t="str">
        <f t="shared" si="8"/>
        <v>HIDE</v>
      </c>
      <c r="BE58" s="237" t="str">
        <f>IF(SUM(BE5:BE55)=0,"HIDE","")</f>
        <v>HIDE</v>
      </c>
      <c r="BF58" s="237" t="str">
        <f>IF(SUM(BF5:BF55)=0,"HIDE","")</f>
        <v>HIDE</v>
      </c>
      <c r="BG58" s="237" t="str">
        <f t="shared" si="8"/>
        <v>HIDE</v>
      </c>
      <c r="BH58" s="237" t="str">
        <f t="shared" si="8"/>
        <v>HIDE</v>
      </c>
      <c r="BI58" s="237" t="str">
        <f t="shared" si="8"/>
        <v>HIDE</v>
      </c>
      <c r="BJ58" s="237" t="str">
        <f t="shared" si="8"/>
        <v>HIDE</v>
      </c>
      <c r="BK58" s="237" t="str">
        <f t="shared" si="8"/>
        <v>HIDE</v>
      </c>
      <c r="BL58" s="237" t="str">
        <f t="shared" si="8"/>
        <v>HIDE</v>
      </c>
      <c r="BM58" s="237" t="str">
        <f t="shared" si="8"/>
        <v>HIDE</v>
      </c>
      <c r="BN58" s="237" t="str">
        <f t="shared" si="8"/>
        <v>HIDE</v>
      </c>
      <c r="BO58" s="237" t="str">
        <f t="shared" si="8"/>
        <v>HIDE</v>
      </c>
      <c r="BP58" s="237" t="str">
        <f t="shared" si="8"/>
        <v>HIDE</v>
      </c>
      <c r="BQ58" s="297"/>
      <c r="BR58" s="297"/>
      <c r="BS58" s="296"/>
      <c r="BT58" s="293">
        <f>SUM(BT5:BT54)</f>
        <v>842.45</v>
      </c>
    </row>
    <row r="59" spans="1:72" s="293" customFormat="1" hidden="1">
      <c r="A59" s="473"/>
      <c r="B59" s="298" t="s">
        <v>102</v>
      </c>
      <c r="C59" s="237"/>
      <c r="BQ59" s="296"/>
      <c r="BR59" s="296"/>
      <c r="BS59" s="296"/>
    </row>
    <row r="60" spans="1:72" s="293" customFormat="1">
      <c r="A60" s="473"/>
      <c r="B60" s="295"/>
      <c r="BQ60" s="296"/>
      <c r="BR60" s="296"/>
      <c r="BS60" s="296"/>
    </row>
    <row r="65" spans="1:72" s="293" customFormat="1">
      <c r="A65" s="473"/>
      <c r="B65" s="295"/>
      <c r="C65" s="237" t="str">
        <f t="shared" ref="C65:AG65" si="9">IF(SUM(C5:C62)=0,"HIDE","")</f>
        <v>HIDE</v>
      </c>
      <c r="D65" s="237" t="str">
        <f t="shared" si="9"/>
        <v>HIDE</v>
      </c>
      <c r="E65" s="237" t="str">
        <f t="shared" si="9"/>
        <v>HIDE</v>
      </c>
      <c r="F65" s="237" t="str">
        <f t="shared" si="9"/>
        <v>HIDE</v>
      </c>
      <c r="G65" s="237" t="str">
        <f t="shared" si="9"/>
        <v>HIDE</v>
      </c>
      <c r="H65" s="237" t="str">
        <f t="shared" si="9"/>
        <v>HIDE</v>
      </c>
      <c r="I65" s="237" t="str">
        <f t="shared" si="9"/>
        <v>HIDE</v>
      </c>
      <c r="J65" s="237" t="str">
        <f t="shared" si="9"/>
        <v>HIDE</v>
      </c>
      <c r="K65" s="237" t="str">
        <f t="shared" si="9"/>
        <v>HIDE</v>
      </c>
      <c r="L65" s="237" t="str">
        <f t="shared" si="9"/>
        <v/>
      </c>
      <c r="M65" s="237" t="str">
        <f t="shared" si="9"/>
        <v>HIDE</v>
      </c>
      <c r="N65" s="237" t="str">
        <f t="shared" si="9"/>
        <v/>
      </c>
      <c r="O65" s="237" t="str">
        <f t="shared" si="9"/>
        <v>HIDE</v>
      </c>
      <c r="P65" s="237" t="str">
        <f t="shared" si="9"/>
        <v>HIDE</v>
      </c>
      <c r="Q65" s="237" t="str">
        <f t="shared" si="9"/>
        <v/>
      </c>
      <c r="R65" s="237" t="str">
        <f t="shared" si="9"/>
        <v>HIDE</v>
      </c>
      <c r="S65" s="237" t="str">
        <f t="shared" si="9"/>
        <v>HIDE</v>
      </c>
      <c r="T65" s="237" t="str">
        <f t="shared" si="9"/>
        <v>HIDE</v>
      </c>
      <c r="U65" s="237" t="str">
        <f t="shared" si="9"/>
        <v>HIDE</v>
      </c>
      <c r="V65" s="237" t="str">
        <f t="shared" si="9"/>
        <v>HIDE</v>
      </c>
      <c r="W65" s="237" t="str">
        <f t="shared" si="9"/>
        <v>HIDE</v>
      </c>
      <c r="X65" s="237" t="str">
        <f t="shared" si="9"/>
        <v>HIDE</v>
      </c>
      <c r="Y65" s="237" t="str">
        <f t="shared" si="9"/>
        <v>HIDE</v>
      </c>
      <c r="Z65" s="237" t="str">
        <f t="shared" si="9"/>
        <v/>
      </c>
      <c r="AA65" s="237" t="str">
        <f t="shared" si="9"/>
        <v>HIDE</v>
      </c>
      <c r="AB65" s="237" t="str">
        <f t="shared" si="9"/>
        <v>HIDE</v>
      </c>
      <c r="AC65" s="237" t="str">
        <f t="shared" si="9"/>
        <v>HIDE</v>
      </c>
      <c r="AD65" s="237" t="str">
        <f t="shared" si="9"/>
        <v>HIDE</v>
      </c>
      <c r="AE65" s="237" t="str">
        <f t="shared" si="9"/>
        <v>HIDE</v>
      </c>
      <c r="AF65" s="237" t="str">
        <f t="shared" si="9"/>
        <v>HIDE</v>
      </c>
      <c r="AG65" s="237" t="str">
        <f t="shared" si="9"/>
        <v/>
      </c>
      <c r="AH65" s="237" t="str">
        <f t="shared" ref="AH65:BP65" si="10">IF(SUM(AH5:AH62)=0,"HIDE","")</f>
        <v>HIDE</v>
      </c>
      <c r="AI65" s="237" t="str">
        <f t="shared" si="10"/>
        <v>HIDE</v>
      </c>
      <c r="AJ65" s="237" t="str">
        <f t="shared" si="10"/>
        <v>HIDE</v>
      </c>
      <c r="AK65" s="237" t="str">
        <f t="shared" si="10"/>
        <v>HIDE</v>
      </c>
      <c r="AL65" s="237" t="str">
        <f t="shared" si="10"/>
        <v>HIDE</v>
      </c>
      <c r="AM65" s="237" t="str">
        <f t="shared" si="10"/>
        <v>HIDE</v>
      </c>
      <c r="AN65" s="237" t="str">
        <f t="shared" si="10"/>
        <v>HIDE</v>
      </c>
      <c r="AO65" s="237" t="str">
        <f t="shared" si="10"/>
        <v>HIDE</v>
      </c>
      <c r="AP65" s="237" t="str">
        <f t="shared" si="10"/>
        <v>HIDE</v>
      </c>
      <c r="AQ65" s="237" t="str">
        <f t="shared" si="10"/>
        <v>HIDE</v>
      </c>
      <c r="AR65" s="237" t="str">
        <f t="shared" si="10"/>
        <v>HIDE</v>
      </c>
      <c r="AS65" s="237" t="str">
        <f t="shared" si="10"/>
        <v>HIDE</v>
      </c>
      <c r="AT65" s="237" t="str">
        <f t="shared" si="10"/>
        <v>HIDE</v>
      </c>
      <c r="AU65" s="237" t="str">
        <f t="shared" si="10"/>
        <v>HIDE</v>
      </c>
      <c r="AV65" s="237" t="str">
        <f t="shared" si="10"/>
        <v>HIDE</v>
      </c>
      <c r="AW65" s="237" t="str">
        <f t="shared" si="10"/>
        <v>HIDE</v>
      </c>
      <c r="AX65" s="237" t="str">
        <f t="shared" si="10"/>
        <v>HIDE</v>
      </c>
      <c r="AY65" s="237" t="str">
        <f t="shared" si="10"/>
        <v>HIDE</v>
      </c>
      <c r="AZ65" s="237" t="str">
        <f t="shared" si="10"/>
        <v>HIDE</v>
      </c>
      <c r="BA65" s="237" t="str">
        <f t="shared" si="10"/>
        <v>HIDE</v>
      </c>
      <c r="BB65" s="237" t="str">
        <f t="shared" si="10"/>
        <v>HIDE</v>
      </c>
      <c r="BC65" s="237" t="str">
        <f t="shared" si="10"/>
        <v>HIDE</v>
      </c>
      <c r="BD65" s="237" t="str">
        <f t="shared" si="10"/>
        <v>HIDE</v>
      </c>
      <c r="BE65" s="237" t="str">
        <f>IF(SUM(BE5:BE62)=0,"HIDE","")</f>
        <v>HIDE</v>
      </c>
      <c r="BF65" s="237" t="str">
        <f>IF(SUM(BF5:BF62)=0,"HIDE","")</f>
        <v>HIDE</v>
      </c>
      <c r="BG65" s="237" t="str">
        <f t="shared" si="10"/>
        <v>HIDE</v>
      </c>
      <c r="BH65" s="237" t="str">
        <f t="shared" si="10"/>
        <v>HIDE</v>
      </c>
      <c r="BI65" s="237" t="str">
        <f t="shared" si="10"/>
        <v>HIDE</v>
      </c>
      <c r="BJ65" s="237" t="str">
        <f t="shared" si="10"/>
        <v>HIDE</v>
      </c>
      <c r="BK65" s="237" t="str">
        <f t="shared" si="10"/>
        <v>HIDE</v>
      </c>
      <c r="BL65" s="237" t="str">
        <f t="shared" si="10"/>
        <v>HIDE</v>
      </c>
      <c r="BM65" s="237" t="str">
        <f t="shared" si="10"/>
        <v>HIDE</v>
      </c>
      <c r="BN65" s="237" t="str">
        <f t="shared" si="10"/>
        <v>HIDE</v>
      </c>
      <c r="BO65" s="237" t="str">
        <f t="shared" si="10"/>
        <v>HIDE</v>
      </c>
      <c r="BP65" s="237" t="str">
        <f t="shared" si="10"/>
        <v>HIDE</v>
      </c>
      <c r="BQ65" s="297"/>
      <c r="BR65" s="297"/>
      <c r="BS65" s="296"/>
      <c r="BT65" s="293">
        <f>SUM(BT5:BT61)</f>
        <v>2527.3500000000004</v>
      </c>
    </row>
    <row r="66" spans="1:72" s="293" customFormat="1">
      <c r="A66" s="473"/>
      <c r="B66" s="834" t="s">
        <v>102</v>
      </c>
      <c r="C66" s="237"/>
      <c r="BQ66" s="296"/>
      <c r="BR66" s="296"/>
      <c r="BS66" s="296"/>
    </row>
    <row r="70" spans="1:72">
      <c r="A70" s="532"/>
    </row>
    <row r="88" spans="1:72">
      <c r="A88" s="532"/>
      <c r="B88" s="12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70"/>
      <c r="BR88" s="70"/>
      <c r="BS88" s="70"/>
      <c r="BT88" s="1"/>
    </row>
    <row r="89" spans="1:72">
      <c r="A89" s="532"/>
      <c r="B89" s="12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70"/>
      <c r="BR89" s="70"/>
      <c r="BS89" s="70"/>
      <c r="BT89" s="1"/>
    </row>
    <row r="90" spans="1:72">
      <c r="A90" s="532"/>
      <c r="B90" s="1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70"/>
      <c r="BR90" s="70"/>
      <c r="BS90" s="70"/>
      <c r="BT90" s="1"/>
    </row>
  </sheetData>
  <sheetProtection sheet="1" objects="1" scenarios="1"/>
  <phoneticPr fontId="9" type="noConversion"/>
  <pageMargins left="0.35433070866141736" right="0.35433070866141736" top="0.19685039370078741" bottom="0.27559055118110237" header="0" footer="0.27559055118110237"/>
  <pageSetup paperSize="9" scale="150" orientation="landscape" verticalDpi="4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Z179"/>
  <sheetViews>
    <sheetView showZeros="0" workbookViewId="0">
      <selection activeCell="Z30" sqref="Z30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70" hidden="1" customWidth="1"/>
    <col min="28" max="16384" width="16" style="1"/>
  </cols>
  <sheetData>
    <row r="1" spans="1:208" ht="36" thickTop="1" thickBot="1">
      <c r="A1" s="218" t="str">
        <f>Summary!$A$2</f>
        <v>OLYMPIC ACCOUNTS</v>
      </c>
      <c r="O1" s="220" t="str">
        <f ca="1">Summary!$T$2</f>
        <v>06 February 2022</v>
      </c>
      <c r="Y1" s="797" t="str">
        <f ca="1">Summary!$T$2</f>
        <v>06 February 2022</v>
      </c>
      <c r="AA1" s="212">
        <f>SUM(AA6:AA72)</f>
        <v>0</v>
      </c>
      <c r="AC1" s="70"/>
      <c r="AD1" s="70"/>
      <c r="AE1" s="70"/>
      <c r="AF1" s="70"/>
      <c r="AG1" s="70"/>
      <c r="AH1" s="70"/>
      <c r="AI1" s="70"/>
      <c r="AJ1" s="70"/>
      <c r="AK1" s="70"/>
    </row>
    <row r="2" spans="1:208" ht="38.25" customHeight="1" thickTop="1">
      <c r="A2" s="223" t="s">
        <v>105</v>
      </c>
      <c r="O2" s="220"/>
      <c r="AA2" s="1"/>
      <c r="AC2" s="70"/>
      <c r="AD2" s="70"/>
      <c r="AE2" s="70"/>
      <c r="AF2" s="70"/>
      <c r="AG2" s="70"/>
      <c r="AH2" s="70"/>
      <c r="AI2" s="70"/>
      <c r="AJ2" s="70"/>
      <c r="AK2" s="70"/>
    </row>
    <row r="3" spans="1:208" ht="18.75" customHeight="1" thickBot="1">
      <c r="A3" s="218"/>
      <c r="H3" s="219"/>
      <c r="O3" s="220"/>
      <c r="AA3" s="1"/>
      <c r="AC3" s="70"/>
      <c r="AD3" s="70"/>
      <c r="AE3" s="70"/>
      <c r="AF3" s="70"/>
      <c r="AG3" s="70"/>
      <c r="AH3" s="70"/>
      <c r="AI3" s="70"/>
      <c r="AJ3" s="70"/>
      <c r="AK3" s="70"/>
    </row>
    <row r="4" spans="1:208" ht="8" hidden="1" thickTop="1" thickBot="1">
      <c r="A4" s="12" t="s">
        <v>66</v>
      </c>
      <c r="F4" s="195" t="s">
        <v>96</v>
      </c>
      <c r="G4" s="196"/>
      <c r="K4" s="195" t="s">
        <v>97</v>
      </c>
      <c r="L4" s="262"/>
      <c r="M4" s="196"/>
    </row>
    <row r="5" spans="1:208" ht="8" hidden="1" thickTop="1" thickBot="1">
      <c r="A5" s="8"/>
      <c r="B5" s="390"/>
      <c r="C5" s="457"/>
      <c r="D5" s="66"/>
      <c r="E5" s="90"/>
      <c r="F5" s="284"/>
      <c r="G5" s="457"/>
      <c r="H5" s="16"/>
      <c r="I5" s="66"/>
      <c r="K5" s="8"/>
      <c r="L5" s="159"/>
      <c r="M5" s="16"/>
      <c r="N5" s="66"/>
      <c r="R5" s="14"/>
      <c r="S5" s="14"/>
      <c r="T5" s="14"/>
      <c r="U5" s="14"/>
      <c r="V5" s="14"/>
      <c r="W5" s="14"/>
      <c r="X5" s="14"/>
      <c r="Y5" s="14"/>
      <c r="AA5" s="90"/>
    </row>
    <row r="6" spans="1:208" ht="8" hidden="1" thickTop="1" thickBot="1">
      <c r="A6" s="7"/>
      <c r="B6" s="460"/>
      <c r="C6" s="458"/>
      <c r="D6" s="161"/>
      <c r="E6" s="90"/>
      <c r="F6" s="463"/>
      <c r="G6" s="458"/>
      <c r="H6" s="23"/>
      <c r="I6" s="161"/>
      <c r="K6" s="7"/>
      <c r="L6" s="160"/>
      <c r="M6" s="23"/>
      <c r="N6" s="161"/>
      <c r="R6" s="14"/>
      <c r="S6" s="14"/>
      <c r="T6" s="14"/>
      <c r="U6" s="14"/>
      <c r="V6" s="14"/>
      <c r="W6" s="14"/>
      <c r="X6" s="14"/>
      <c r="Y6" s="14"/>
      <c r="AA6" s="194">
        <f>SUM(B9:F9)</f>
        <v>0</v>
      </c>
    </row>
    <row r="7" spans="1:208" s="193" customFormat="1" ht="8" hidden="1" thickTop="1" thickBot="1">
      <c r="A7" s="191"/>
      <c r="B7" s="461"/>
      <c r="C7" s="459"/>
      <c r="D7" s="192"/>
      <c r="E7" s="197"/>
      <c r="F7" s="464"/>
      <c r="G7" s="314"/>
      <c r="H7" s="201"/>
      <c r="I7" s="202"/>
      <c r="K7" s="199"/>
      <c r="L7" s="200"/>
      <c r="M7" s="201"/>
      <c r="N7" s="202"/>
      <c r="R7" s="198"/>
      <c r="S7" s="198"/>
      <c r="T7" s="198"/>
      <c r="U7" s="198"/>
      <c r="V7" s="198"/>
      <c r="W7" s="198"/>
      <c r="X7" s="198"/>
      <c r="Y7" s="198"/>
      <c r="Z7" s="198"/>
      <c r="AA7" s="194">
        <f>SUM(H9:L9)</f>
        <v>0</v>
      </c>
    </row>
    <row r="8" spans="1:208" s="208" customFormat="1" ht="8" hidden="1" thickTop="1" thickBot="1">
      <c r="A8" s="203" t="s">
        <v>68</v>
      </c>
      <c r="B8" s="462" t="str">
        <f>IF(B7=0,"","post bal.")</f>
        <v/>
      </c>
      <c r="C8" s="358" t="str">
        <f>IF(C7=0,"","post bal.")</f>
        <v/>
      </c>
      <c r="D8" s="359" t="str">
        <f>IF(D7=0,"","post bal.")</f>
        <v/>
      </c>
      <c r="E8" s="207"/>
      <c r="F8" s="462" t="str">
        <f>IF(F7=0,"","post bal.")</f>
        <v/>
      </c>
      <c r="G8" s="358" t="str">
        <f>IF(G7=0,"","post bal.")</f>
        <v/>
      </c>
      <c r="H8" s="358" t="str">
        <f>IF(H7=0,"","post bal.")</f>
        <v/>
      </c>
      <c r="I8" s="359" t="str">
        <f>IF(I7=0,"","post bal.")</f>
        <v/>
      </c>
      <c r="K8" s="210" t="s">
        <v>69</v>
      </c>
      <c r="L8" s="204"/>
      <c r="M8" s="205"/>
      <c r="N8" s="206"/>
      <c r="AA8" s="209">
        <f>SUM(N9:R9)</f>
        <v>0</v>
      </c>
    </row>
    <row r="9" spans="1:208" ht="7.5" hidden="1" thickTop="1">
      <c r="A9" s="3"/>
      <c r="B9" s="117">
        <f>IF(B8="post bal.",B7,0)</f>
        <v>0</v>
      </c>
      <c r="C9" s="117">
        <f>IF(C8="post bal.",C7,0)</f>
        <v>0</v>
      </c>
      <c r="D9" s="117">
        <f t="shared" ref="D9:R9" si="0">IF(D8="post bal.",D7,0)</f>
        <v>0</v>
      </c>
      <c r="E9" s="3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>
        <f t="shared" si="0"/>
        <v>0</v>
      </c>
      <c r="J9" s="3">
        <f>IF(H8="post bal.",H7,0)</f>
        <v>0</v>
      </c>
      <c r="K9" s="117">
        <f>IF(K8="post bal.",K7,0)</f>
        <v>0</v>
      </c>
      <c r="L9" s="117">
        <f>IF(L8="post bal.",L7,0)</f>
        <v>0</v>
      </c>
      <c r="M9" s="117">
        <f>IF(M8="post bal.",M7,0)</f>
        <v>0</v>
      </c>
      <c r="N9" s="117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  <c r="S9" s="70"/>
      <c r="T9" s="70"/>
      <c r="U9" s="70"/>
      <c r="V9" s="70"/>
      <c r="W9" s="70"/>
      <c r="X9" s="70"/>
    </row>
    <row r="10" spans="1:208" ht="8" hidden="1" thickTop="1" thickBot="1">
      <c r="F10" s="48"/>
    </row>
    <row r="11" spans="1:208" ht="11.5" thickTop="1" thickBot="1">
      <c r="A11" s="11" t="s">
        <v>11</v>
      </c>
      <c r="E11" s="498"/>
      <c r="F11" s="498"/>
      <c r="AA11" s="90"/>
    </row>
    <row r="12" spans="1:208" ht="7.5" thickTop="1">
      <c r="A12" s="87" t="s">
        <v>70</v>
      </c>
      <c r="B12" s="544" t="s">
        <v>193</v>
      </c>
      <c r="C12" s="544" t="s">
        <v>114</v>
      </c>
      <c r="D12" s="630"/>
      <c r="E12" s="544"/>
      <c r="F12" s="579"/>
      <c r="G12" s="17"/>
      <c r="H12" s="83"/>
      <c r="I12" s="83"/>
      <c r="J12" s="13"/>
      <c r="K12" s="13"/>
      <c r="L12" s="19"/>
      <c r="M12" s="17"/>
      <c r="N12" s="17"/>
      <c r="O12" s="17"/>
      <c r="P12" s="17"/>
      <c r="Q12" s="17"/>
      <c r="R12" s="24"/>
      <c r="S12" s="158"/>
      <c r="T12" s="162"/>
      <c r="U12" s="162"/>
      <c r="V12" s="162"/>
      <c r="W12" s="162"/>
      <c r="X12" s="162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71</v>
      </c>
      <c r="B13" s="545">
        <v>44168</v>
      </c>
      <c r="C13" s="545">
        <v>44215</v>
      </c>
      <c r="D13" s="565"/>
      <c r="E13" s="589"/>
      <c r="F13" s="88"/>
      <c r="G13" s="86"/>
      <c r="H13" s="86"/>
      <c r="I13" s="86"/>
      <c r="J13" s="86"/>
      <c r="K13" s="86"/>
      <c r="L13" s="88"/>
      <c r="M13" s="88"/>
      <c r="N13" s="88"/>
      <c r="O13" s="88"/>
      <c r="P13" s="59"/>
      <c r="Q13" s="59"/>
      <c r="R13" s="162"/>
      <c r="S13" s="60"/>
      <c r="T13" s="162"/>
      <c r="U13" s="162"/>
      <c r="V13" s="162"/>
      <c r="W13" s="162"/>
      <c r="X13" s="162"/>
    </row>
    <row r="14" spans="1:208">
      <c r="A14" s="104" t="s">
        <v>14</v>
      </c>
      <c r="B14" s="546"/>
      <c r="C14" s="546"/>
      <c r="D14" s="566"/>
      <c r="E14" s="546"/>
      <c r="F14" s="580"/>
      <c r="G14" s="106"/>
      <c r="H14" s="106"/>
      <c r="I14" s="106"/>
      <c r="J14" s="105"/>
      <c r="K14" s="105"/>
      <c r="L14" s="105"/>
      <c r="M14" s="105"/>
      <c r="N14" s="20"/>
      <c r="O14" s="20"/>
      <c r="P14" s="20"/>
      <c r="Q14" s="20"/>
      <c r="R14" s="22"/>
      <c r="S14" s="6"/>
      <c r="T14" s="70"/>
      <c r="U14" s="70"/>
      <c r="V14" s="70"/>
      <c r="W14" s="70"/>
      <c r="X14" s="70"/>
    </row>
    <row r="15" spans="1:208" ht="7.5" thickBot="1">
      <c r="A15" s="108" t="s">
        <v>15</v>
      </c>
      <c r="B15" s="547"/>
      <c r="C15" s="547"/>
      <c r="D15" s="567"/>
      <c r="E15" s="547"/>
      <c r="F15" s="581"/>
      <c r="G15" s="110"/>
      <c r="H15" s="110"/>
      <c r="I15" s="110"/>
      <c r="J15" s="98"/>
      <c r="K15" s="98"/>
      <c r="L15" s="98"/>
      <c r="M15" s="98"/>
      <c r="N15" s="77"/>
      <c r="O15" s="77"/>
      <c r="P15" s="77"/>
      <c r="Q15" s="77"/>
      <c r="R15" s="78"/>
      <c r="S15" s="27"/>
      <c r="T15" s="70"/>
      <c r="U15" s="70"/>
      <c r="V15" s="70"/>
      <c r="W15" s="70"/>
      <c r="X15" s="70"/>
    </row>
    <row r="16" spans="1:208" s="282" customFormat="1" ht="8" hidden="1" thickTop="1" thickBot="1">
      <c r="A16" s="280" t="s">
        <v>123</v>
      </c>
      <c r="B16" s="484">
        <v>44168</v>
      </c>
      <c r="C16" s="548"/>
      <c r="D16" s="568"/>
      <c r="E16" s="548"/>
      <c r="F16" s="582"/>
      <c r="G16" s="281">
        <f>IF(OR(ISTEXT(G13),G13=0),Summary!$E$1-7,G13-MOD(G13-Summary!$E$1,7))</f>
        <v>44280</v>
      </c>
      <c r="H16" s="281">
        <f>IF(OR(ISTEXT(H13),H13=0),Summary!$E$1-7,H13-MOD(H13-Summary!$E$1,7))</f>
        <v>44280</v>
      </c>
      <c r="I16" s="281">
        <f>IF(OR(ISTEXT(I13),I13=0),Summary!$E$1-7,I13-MOD(I13-Summary!$E$1,7))</f>
        <v>44280</v>
      </c>
      <c r="J16" s="281">
        <f>IF(OR(ISTEXT(J13),J13=0),Summary!$E$1-7,J13-MOD(J13-Summary!$E$1,7))</f>
        <v>44280</v>
      </c>
      <c r="K16" s="281">
        <f>IF(OR(ISTEXT(K13),K13=0),Summary!$E$1-7,K13-MOD(K13-Summary!$E$1,7))</f>
        <v>44280</v>
      </c>
      <c r="L16" s="281">
        <f>IF(OR(ISTEXT(L13),L13=0),Summary!$E$1-7,L13-MOD(L13-Summary!$E$1,7))</f>
        <v>44280</v>
      </c>
      <c r="M16" s="281">
        <f>IF(OR(ISTEXT(M13),M13=0),Summary!$E$1-7,M13-MOD(M13-Summary!$E$1,7))</f>
        <v>44280</v>
      </c>
      <c r="N16" s="281">
        <f>IF(OR(ISTEXT(N13),N13=0),Summary!$E$1-7,N13-MOD(N13-Summary!$E$1,7))</f>
        <v>44280</v>
      </c>
      <c r="O16" s="281">
        <f>IF(OR(ISTEXT(O13),O13=0),Summary!$E$1-7,O13-MOD(O13-Summary!$E$1,7))</f>
        <v>44280</v>
      </c>
      <c r="P16" s="281">
        <f>IF(OR(ISTEXT(P13),P13=0),Summary!$E$1-7,P13-MOD(P13-Summary!$E$1,7))</f>
        <v>44280</v>
      </c>
      <c r="Q16" s="281">
        <f>IF(OR(ISTEXT(Q13),Q13=0),Summary!$E$1-7,Q13-MOD(Q13-Summary!$E$1,7))</f>
        <v>44280</v>
      </c>
      <c r="R16" s="306">
        <f>IF(OR(ISTEXT(R13),R13=0),Summary!$E$1-7,R13-MOD(R13-Summary!$E$1,7))</f>
        <v>44280</v>
      </c>
      <c r="S16" s="802">
        <f>IF(OR(ISTEXT(S13),S13=0),Summary!$E$1-7,S13-MOD(S13-Summary!$E$1,7))</f>
        <v>44280</v>
      </c>
      <c r="T16" s="283"/>
      <c r="U16" s="283"/>
      <c r="V16" s="283"/>
      <c r="W16" s="283"/>
      <c r="X16" s="283"/>
      <c r="Z16" s="283"/>
      <c r="AC16" s="283"/>
      <c r="AD16" s="283"/>
      <c r="AE16" s="283"/>
      <c r="AF16" s="283"/>
      <c r="AG16" s="283"/>
      <c r="AH16" s="283"/>
      <c r="AI16" s="283"/>
      <c r="AJ16" s="283"/>
      <c r="AK16" s="283"/>
    </row>
    <row r="17" spans="1:37" s="282" customFormat="1" ht="8" hidden="1" thickTop="1" thickBot="1">
      <c r="A17" s="274" t="s">
        <v>135</v>
      </c>
      <c r="B17" s="485" t="b">
        <v>0</v>
      </c>
      <c r="C17" s="549" t="b">
        <v>0</v>
      </c>
      <c r="D17" s="569"/>
      <c r="E17" s="549"/>
      <c r="F17" s="583"/>
      <c r="G17" s="332" t="b">
        <f t="shared" ref="G17:R17" si="1">OR(ISNUMBER(HLOOKUP(G16,G53:AD54,2)),ISNUMBER(HLOOKUP(G16,G94:AD95,2)))</f>
        <v>0</v>
      </c>
      <c r="H17" s="332" t="b">
        <f t="shared" si="1"/>
        <v>0</v>
      </c>
      <c r="I17" s="332" t="b">
        <f t="shared" si="1"/>
        <v>0</v>
      </c>
      <c r="J17" s="332" t="b">
        <f t="shared" si="1"/>
        <v>0</v>
      </c>
      <c r="K17" s="332" t="b">
        <f t="shared" si="1"/>
        <v>0</v>
      </c>
      <c r="L17" s="332" t="b">
        <f t="shared" si="1"/>
        <v>0</v>
      </c>
      <c r="M17" s="332" t="b">
        <f t="shared" si="1"/>
        <v>0</v>
      </c>
      <c r="N17" s="332" t="b">
        <f t="shared" si="1"/>
        <v>0</v>
      </c>
      <c r="O17" s="332" t="b">
        <f t="shared" si="1"/>
        <v>0</v>
      </c>
      <c r="P17" s="332" t="b">
        <f t="shared" si="1"/>
        <v>0</v>
      </c>
      <c r="Q17" s="332" t="b">
        <f t="shared" si="1"/>
        <v>0</v>
      </c>
      <c r="R17" s="627" t="b">
        <f t="shared" si="1"/>
        <v>0</v>
      </c>
      <c r="S17" s="803" t="b">
        <f>OR(ISNUMBER(HLOOKUP(S16,Y53:AP54,2)),ISNUMBER(HLOOKUP(S16,Y94:AP95,2)))</f>
        <v>0</v>
      </c>
      <c r="T17" s="273"/>
      <c r="U17" s="273"/>
      <c r="V17" s="273"/>
      <c r="W17" s="273"/>
      <c r="X17" s="273"/>
      <c r="Z17" s="283"/>
      <c r="AC17" s="283"/>
      <c r="AD17" s="283"/>
      <c r="AE17" s="283"/>
      <c r="AF17" s="283"/>
      <c r="AG17" s="283"/>
      <c r="AH17" s="283"/>
      <c r="AI17" s="283"/>
      <c r="AJ17" s="283"/>
      <c r="AK17" s="283"/>
    </row>
    <row r="18" spans="1:37" s="282" customFormat="1" ht="8" hidden="1" thickTop="1" thickBot="1">
      <c r="A18" s="274" t="s">
        <v>133</v>
      </c>
      <c r="B18" s="485">
        <v>0</v>
      </c>
      <c r="C18" s="549">
        <v>0</v>
      </c>
      <c r="D18" s="569"/>
      <c r="E18" s="549"/>
      <c r="F18" s="583"/>
      <c r="G18" s="332">
        <f t="shared" ref="G18:R18" si="2">IF(OR(G17,G14=0),0,1)</f>
        <v>0</v>
      </c>
      <c r="H18" s="332">
        <f t="shared" si="2"/>
        <v>0</v>
      </c>
      <c r="I18" s="332">
        <f t="shared" si="2"/>
        <v>0</v>
      </c>
      <c r="J18" s="332">
        <f t="shared" si="2"/>
        <v>0</v>
      </c>
      <c r="K18" s="332">
        <f t="shared" si="2"/>
        <v>0</v>
      </c>
      <c r="L18" s="332">
        <f t="shared" si="2"/>
        <v>0</v>
      </c>
      <c r="M18" s="332">
        <f t="shared" si="2"/>
        <v>0</v>
      </c>
      <c r="N18" s="332">
        <f t="shared" si="2"/>
        <v>0</v>
      </c>
      <c r="O18" s="332">
        <f t="shared" si="2"/>
        <v>0</v>
      </c>
      <c r="P18" s="332">
        <f t="shared" si="2"/>
        <v>0</v>
      </c>
      <c r="Q18" s="332">
        <f t="shared" si="2"/>
        <v>0</v>
      </c>
      <c r="R18" s="627">
        <f t="shared" si="2"/>
        <v>0</v>
      </c>
      <c r="S18" s="803">
        <f>IF(OR(S17,S14=0),0,1)</f>
        <v>0</v>
      </c>
      <c r="T18" s="273"/>
      <c r="U18" s="273"/>
      <c r="V18" s="273"/>
      <c r="W18" s="273"/>
      <c r="X18" s="273"/>
      <c r="Z18" s="283"/>
      <c r="AC18" s="283"/>
      <c r="AD18" s="283"/>
      <c r="AE18" s="283"/>
      <c r="AF18" s="283"/>
      <c r="AG18" s="283"/>
      <c r="AH18" s="283"/>
      <c r="AI18" s="283"/>
      <c r="AJ18" s="283"/>
      <c r="AK18" s="283"/>
    </row>
    <row r="19" spans="1:37" s="271" customFormat="1" ht="8" hidden="1" thickTop="1" thickBot="1">
      <c r="A19" s="274" t="s">
        <v>134</v>
      </c>
      <c r="B19" s="486">
        <v>7</v>
      </c>
      <c r="C19" s="450">
        <v>0</v>
      </c>
      <c r="D19" s="450"/>
      <c r="E19" s="549"/>
      <c r="F19" s="331"/>
      <c r="G19" s="331">
        <f t="shared" ref="G19:R19" si="3">G18+F19</f>
        <v>0</v>
      </c>
      <c r="H19" s="331">
        <f t="shared" si="3"/>
        <v>0</v>
      </c>
      <c r="I19" s="331">
        <f t="shared" si="3"/>
        <v>0</v>
      </c>
      <c r="J19" s="331">
        <f t="shared" si="3"/>
        <v>0</v>
      </c>
      <c r="K19" s="331">
        <f t="shared" si="3"/>
        <v>0</v>
      </c>
      <c r="L19" s="331">
        <f t="shared" si="3"/>
        <v>0</v>
      </c>
      <c r="M19" s="331">
        <f t="shared" si="3"/>
        <v>0</v>
      </c>
      <c r="N19" s="331">
        <f t="shared" si="3"/>
        <v>0</v>
      </c>
      <c r="O19" s="331">
        <f t="shared" si="3"/>
        <v>0</v>
      </c>
      <c r="P19" s="331">
        <f t="shared" si="3"/>
        <v>0</v>
      </c>
      <c r="Q19" s="331">
        <f t="shared" si="3"/>
        <v>0</v>
      </c>
      <c r="R19" s="801">
        <f t="shared" si="3"/>
        <v>0</v>
      </c>
      <c r="S19" s="804">
        <f>S18+R19</f>
        <v>0</v>
      </c>
      <c r="T19" s="801"/>
      <c r="U19" s="801"/>
      <c r="V19" s="801"/>
      <c r="W19" s="801"/>
      <c r="X19" s="801"/>
      <c r="Z19" s="272"/>
      <c r="AC19" s="272"/>
      <c r="AD19" s="272"/>
      <c r="AE19" s="272"/>
      <c r="AF19" s="272"/>
      <c r="AG19" s="272"/>
      <c r="AH19" s="272"/>
      <c r="AI19" s="272"/>
      <c r="AJ19" s="272"/>
      <c r="AK19" s="272"/>
    </row>
    <row r="20" spans="1:37" s="271" customFormat="1" ht="8" hidden="1" thickTop="1" thickBot="1">
      <c r="A20" s="274" t="s">
        <v>122</v>
      </c>
      <c r="B20" s="487">
        <v>1</v>
      </c>
      <c r="C20" s="450"/>
      <c r="D20" s="450"/>
      <c r="E20" s="549"/>
      <c r="F20" s="273"/>
      <c r="G20" s="273">
        <f t="shared" ref="G20:O20" si="4">IF(ISERROR(G13-E13),0,IF(OR(G13-E13&lt;7,LEN(G12)&gt;6),0,1))</f>
        <v>0</v>
      </c>
      <c r="H20" s="273">
        <f t="shared" si="4"/>
        <v>0</v>
      </c>
      <c r="I20" s="273">
        <f t="shared" si="4"/>
        <v>0</v>
      </c>
      <c r="J20" s="273">
        <f t="shared" si="4"/>
        <v>0</v>
      </c>
      <c r="K20" s="273">
        <f t="shared" si="4"/>
        <v>0</v>
      </c>
      <c r="L20" s="273">
        <f t="shared" si="4"/>
        <v>0</v>
      </c>
      <c r="M20" s="273">
        <f t="shared" si="4"/>
        <v>0</v>
      </c>
      <c r="N20" s="273">
        <f t="shared" si="4"/>
        <v>0</v>
      </c>
      <c r="O20" s="273">
        <f t="shared" si="4"/>
        <v>0</v>
      </c>
      <c r="P20" s="273">
        <f>IF(ISERROR(P13-O13),0,IF(OR(P13-O13&lt;7,LEN(P12)&gt;6),0,1))</f>
        <v>0</v>
      </c>
      <c r="Q20" s="273">
        <f>IF(ISERROR(Q13-P13),0,IF(OR(Q13-P13&lt;7,LEN(Q12)&gt;6),0,1))</f>
        <v>0</v>
      </c>
      <c r="R20" s="273">
        <f>IF(ISERROR(R13-Q13),0,IF(OR(R13-Q13&lt;7,LEN(R12)&gt;6),0,1))</f>
        <v>0</v>
      </c>
      <c r="S20" s="803">
        <f>IF(ISERROR(S13-Q13),0,IF(OR(S13-Q13&lt;7,LEN(S12)&gt;6),0,1))</f>
        <v>0</v>
      </c>
      <c r="T20" s="273"/>
      <c r="U20" s="273"/>
      <c r="V20" s="273"/>
      <c r="W20" s="273"/>
      <c r="X20" s="273"/>
      <c r="Z20" s="272"/>
      <c r="AC20" s="272"/>
      <c r="AD20" s="272"/>
      <c r="AE20" s="272"/>
      <c r="AF20" s="272"/>
      <c r="AG20" s="272"/>
      <c r="AH20" s="272"/>
      <c r="AI20" s="272"/>
      <c r="AJ20" s="272"/>
      <c r="AK20" s="272"/>
    </row>
    <row r="21" spans="1:37" ht="11.5" thickTop="1" thickBot="1">
      <c r="A21" s="68" t="s">
        <v>16</v>
      </c>
      <c r="B21" s="480"/>
      <c r="C21" s="550"/>
      <c r="D21" s="570"/>
      <c r="E21" s="59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6"/>
      <c r="T21" s="70"/>
      <c r="U21" s="70"/>
      <c r="V21" s="70"/>
      <c r="W21" s="70"/>
      <c r="X21" s="70"/>
      <c r="AA21" s="90"/>
    </row>
    <row r="22" spans="1:37" s="76" customFormat="1" ht="7.5" thickTop="1">
      <c r="A22" s="164" t="s">
        <v>25</v>
      </c>
      <c r="B22" s="481"/>
      <c r="C22" s="551"/>
      <c r="D22" s="571"/>
      <c r="E22" s="551"/>
      <c r="F22" s="73"/>
      <c r="G22" s="85"/>
      <c r="H22" s="85"/>
      <c r="I22" s="85"/>
      <c r="J22" s="85"/>
      <c r="K22" s="85"/>
      <c r="L22" s="54"/>
      <c r="M22" s="54"/>
      <c r="N22" s="141"/>
      <c r="O22" s="141"/>
      <c r="P22" s="141"/>
      <c r="Q22" s="141"/>
      <c r="R22" s="141"/>
      <c r="S22" s="165"/>
      <c r="T22" s="116"/>
      <c r="U22" s="116"/>
      <c r="V22" s="116"/>
      <c r="W22" s="116"/>
      <c r="X22" s="116"/>
      <c r="AA22" s="116"/>
    </row>
    <row r="23" spans="1:37" s="76" customFormat="1">
      <c r="A23" s="153" t="s">
        <v>26</v>
      </c>
      <c r="B23" s="488"/>
      <c r="C23" s="552"/>
      <c r="D23" s="572"/>
      <c r="E23" s="552"/>
      <c r="F23" s="71"/>
      <c r="G23" s="74"/>
      <c r="H23" s="74"/>
      <c r="I23" s="74"/>
      <c r="J23" s="74"/>
      <c r="K23" s="74"/>
      <c r="L23" s="56"/>
      <c r="M23" s="56"/>
      <c r="N23" s="142"/>
      <c r="O23" s="142"/>
      <c r="P23" s="142"/>
      <c r="Q23" s="142"/>
      <c r="R23" s="142"/>
      <c r="S23" s="152"/>
      <c r="T23" s="116"/>
      <c r="U23" s="116"/>
      <c r="V23" s="116"/>
      <c r="W23" s="116"/>
      <c r="X23" s="116"/>
      <c r="AA23" s="116"/>
    </row>
    <row r="24" spans="1:37" s="76" customFormat="1" ht="7.5" thickBot="1">
      <c r="A24" s="154" t="s">
        <v>29</v>
      </c>
      <c r="B24" s="489"/>
      <c r="C24" s="553"/>
      <c r="D24" s="573"/>
      <c r="E24" s="553"/>
      <c r="F24" s="71"/>
      <c r="G24" s="74"/>
      <c r="H24" s="74"/>
      <c r="I24" s="74"/>
      <c r="J24" s="74"/>
      <c r="K24" s="74"/>
      <c r="L24" s="56"/>
      <c r="M24" s="56"/>
      <c r="N24" s="142"/>
      <c r="O24" s="142"/>
      <c r="P24" s="142"/>
      <c r="Q24" s="142"/>
      <c r="R24" s="142"/>
      <c r="S24" s="152"/>
      <c r="T24" s="116"/>
      <c r="U24" s="116"/>
      <c r="V24" s="116"/>
      <c r="W24" s="116"/>
      <c r="X24" s="116"/>
      <c r="AA24" s="69"/>
    </row>
    <row r="25" spans="1:37" s="48" customFormat="1" ht="11.5" thickTop="1" thickBot="1">
      <c r="A25" s="115" t="s">
        <v>72</v>
      </c>
      <c r="B25" s="490">
        <v>0</v>
      </c>
      <c r="C25" s="74">
        <v>0</v>
      </c>
      <c r="D25" s="74">
        <f>SUM(D22:D24)</f>
        <v>0</v>
      </c>
      <c r="E25" s="591"/>
      <c r="F25" s="80"/>
      <c r="G25" s="84"/>
      <c r="H25" s="84"/>
      <c r="I25" s="84"/>
      <c r="J25" s="84"/>
      <c r="K25" s="84"/>
      <c r="L25" s="82"/>
      <c r="M25" s="82"/>
      <c r="N25" s="82"/>
      <c r="O25" s="82"/>
      <c r="P25" s="82"/>
      <c r="Q25" s="82"/>
      <c r="R25" s="82"/>
      <c r="S25" s="121"/>
      <c r="T25" s="69"/>
      <c r="U25" s="69"/>
      <c r="V25" s="69"/>
      <c r="W25" s="69"/>
      <c r="X25" s="69"/>
      <c r="AA25" s="310"/>
    </row>
    <row r="26" spans="1:37" ht="11.5" thickTop="1" thickBot="1">
      <c r="A26" s="11" t="s">
        <v>74</v>
      </c>
      <c r="B26" s="491" t="s">
        <v>112</v>
      </c>
      <c r="C26" s="555" t="s">
        <v>112</v>
      </c>
      <c r="D26" s="574"/>
      <c r="E26" s="592"/>
      <c r="F26" s="3" t="s">
        <v>112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T26" s="70"/>
      <c r="U26" s="70"/>
      <c r="V26" s="70"/>
      <c r="W26" s="70"/>
      <c r="X26" s="70"/>
      <c r="AA26" s="116"/>
    </row>
    <row r="27" spans="1:37" s="76" customFormat="1" ht="7.5" thickTop="1">
      <c r="A27" s="164" t="s">
        <v>39</v>
      </c>
      <c r="B27" s="481">
        <v>43.88</v>
      </c>
      <c r="C27" s="551"/>
      <c r="D27" s="571"/>
      <c r="E27" s="551"/>
      <c r="F27" s="73"/>
      <c r="G27" s="85"/>
      <c r="H27" s="85"/>
      <c r="I27" s="85"/>
      <c r="J27" s="85"/>
      <c r="K27" s="85"/>
      <c r="L27" s="85"/>
      <c r="M27" s="85"/>
      <c r="N27" s="141"/>
      <c r="O27" s="141"/>
      <c r="P27" s="141"/>
      <c r="Q27" s="141"/>
      <c r="R27" s="141"/>
      <c r="S27" s="165"/>
      <c r="T27" s="116"/>
      <c r="U27" s="116"/>
      <c r="V27" s="116"/>
      <c r="W27" s="116"/>
      <c r="X27" s="116"/>
      <c r="AA27" s="116"/>
    </row>
    <row r="28" spans="1:37" s="76" customFormat="1">
      <c r="A28" s="153" t="s">
        <v>40</v>
      </c>
      <c r="B28" s="488"/>
      <c r="C28" s="552"/>
      <c r="D28" s="572"/>
      <c r="E28" s="552"/>
      <c r="F28" s="71"/>
      <c r="G28" s="74"/>
      <c r="H28" s="74"/>
      <c r="I28" s="74"/>
      <c r="J28" s="74"/>
      <c r="K28" s="74"/>
      <c r="L28" s="74"/>
      <c r="M28" s="74"/>
      <c r="N28" s="142"/>
      <c r="O28" s="142"/>
      <c r="P28" s="142"/>
      <c r="Q28" s="142"/>
      <c r="R28" s="142"/>
      <c r="S28" s="152"/>
      <c r="T28" s="116"/>
      <c r="U28" s="116"/>
      <c r="V28" s="116"/>
      <c r="W28" s="116"/>
      <c r="X28" s="116"/>
      <c r="AA28" s="116"/>
    </row>
    <row r="29" spans="1:37" s="76" customFormat="1">
      <c r="A29" s="153" t="s">
        <v>41</v>
      </c>
      <c r="B29" s="488"/>
      <c r="C29" s="552"/>
      <c r="D29" s="572"/>
      <c r="E29" s="552"/>
      <c r="F29" s="71"/>
      <c r="G29" s="74"/>
      <c r="H29" s="74"/>
      <c r="I29" s="74"/>
      <c r="J29" s="74"/>
      <c r="K29" s="74"/>
      <c r="L29" s="74"/>
      <c r="M29" s="74"/>
      <c r="N29" s="142"/>
      <c r="O29" s="142"/>
      <c r="P29" s="142"/>
      <c r="Q29" s="142"/>
      <c r="R29" s="142"/>
      <c r="S29" s="152"/>
      <c r="T29" s="116"/>
      <c r="U29" s="116"/>
      <c r="V29" s="116"/>
      <c r="W29" s="116"/>
      <c r="X29" s="116"/>
      <c r="AA29" s="116"/>
    </row>
    <row r="30" spans="1:37" s="76" customFormat="1">
      <c r="A30" s="155" t="s">
        <v>43</v>
      </c>
      <c r="B30" s="492">
        <v>0</v>
      </c>
      <c r="C30" s="556">
        <v>0</v>
      </c>
      <c r="D30" s="556"/>
      <c r="E30" s="593"/>
      <c r="F30" s="103"/>
      <c r="G30" s="100"/>
      <c r="H30" s="100"/>
      <c r="I30" s="100"/>
      <c r="J30" s="100"/>
      <c r="K30" s="100"/>
      <c r="L30" s="100"/>
      <c r="M30" s="100"/>
      <c r="N30" s="142"/>
      <c r="O30" s="142"/>
      <c r="P30" s="142"/>
      <c r="Q30" s="142"/>
      <c r="R30" s="142"/>
      <c r="S30" s="152"/>
      <c r="T30" s="116"/>
      <c r="U30" s="116"/>
      <c r="V30" s="116"/>
      <c r="W30" s="116"/>
      <c r="X30" s="116"/>
      <c r="AA30" s="116"/>
    </row>
    <row r="31" spans="1:37" s="169" customFormat="1">
      <c r="A31" s="166" t="s">
        <v>44</v>
      </c>
      <c r="B31" s="493">
        <v>43.88</v>
      </c>
      <c r="C31" s="493">
        <v>0</v>
      </c>
      <c r="D31" s="575"/>
      <c r="E31" s="557"/>
      <c r="F31" s="72"/>
      <c r="G31" s="47"/>
      <c r="H31" s="47"/>
      <c r="I31" s="47"/>
      <c r="J31" s="47"/>
      <c r="K31" s="47"/>
      <c r="L31" s="47"/>
      <c r="M31" s="47"/>
      <c r="N31" s="167"/>
      <c r="O31" s="167"/>
      <c r="P31" s="167"/>
      <c r="Q31" s="167"/>
      <c r="R31" s="167"/>
      <c r="S31" s="168"/>
      <c r="T31" s="805"/>
      <c r="U31" s="805"/>
      <c r="V31" s="805"/>
      <c r="W31" s="805"/>
      <c r="X31" s="805"/>
      <c r="AA31" s="116"/>
    </row>
    <row r="32" spans="1:37" s="169" customFormat="1" ht="7.5" thickBot="1">
      <c r="A32" s="170" t="s">
        <v>88</v>
      </c>
      <c r="B32" s="494"/>
      <c r="C32" s="558"/>
      <c r="D32" s="576"/>
      <c r="E32" s="558"/>
      <c r="F32" s="584"/>
      <c r="G32" s="231"/>
      <c r="H32" s="231"/>
      <c r="I32" s="231"/>
      <c r="J32" s="231"/>
      <c r="K32" s="231"/>
      <c r="L32" s="231"/>
      <c r="M32" s="231"/>
      <c r="N32" s="172"/>
      <c r="O32" s="172"/>
      <c r="P32" s="171"/>
      <c r="Q32" s="171"/>
      <c r="R32" s="171"/>
      <c r="S32" s="187"/>
      <c r="T32" s="805"/>
      <c r="U32" s="805"/>
      <c r="V32" s="805"/>
      <c r="W32" s="805"/>
      <c r="X32" s="805"/>
      <c r="AA32" s="69"/>
    </row>
    <row r="33" spans="1:208" s="48" customFormat="1" ht="11.5" thickTop="1" thickBot="1">
      <c r="A33" s="94" t="s">
        <v>75</v>
      </c>
      <c r="B33" s="495" t="s">
        <v>112</v>
      </c>
      <c r="C33" s="559"/>
      <c r="D33" s="577"/>
      <c r="E33" s="594"/>
      <c r="F33" s="114"/>
      <c r="G33" s="114"/>
      <c r="H33" s="114"/>
      <c r="I33" s="114"/>
      <c r="J33" s="114"/>
      <c r="K33" s="114"/>
      <c r="L33" s="114"/>
      <c r="M33" s="114"/>
      <c r="N33" s="69"/>
      <c r="O33" s="69"/>
      <c r="P33" s="69"/>
      <c r="Q33" s="69"/>
      <c r="R33" s="69"/>
      <c r="S33" s="248"/>
      <c r="T33" s="69"/>
      <c r="U33" s="805"/>
      <c r="V33" s="805"/>
      <c r="W33" s="69"/>
      <c r="X33" s="69"/>
      <c r="AA33" s="116"/>
    </row>
    <row r="34" spans="1:208" s="76" customFormat="1" ht="7.5" thickTop="1">
      <c r="A34" s="164" t="s">
        <v>49</v>
      </c>
      <c r="B34" s="496">
        <v>0</v>
      </c>
      <c r="C34" s="560">
        <v>67.289999999999992</v>
      </c>
      <c r="D34" s="560"/>
      <c r="E34" s="563"/>
      <c r="F34" s="585"/>
      <c r="G34" s="85"/>
      <c r="H34" s="85"/>
      <c r="I34" s="85"/>
      <c r="J34" s="85"/>
      <c r="K34" s="85"/>
      <c r="L34" s="85"/>
      <c r="M34" s="85"/>
      <c r="N34" s="141"/>
      <c r="O34" s="141"/>
      <c r="P34" s="141"/>
      <c r="Q34" s="141"/>
      <c r="R34" s="141"/>
      <c r="S34" s="165"/>
      <c r="T34" s="116"/>
      <c r="U34" s="805"/>
      <c r="V34" s="805"/>
      <c r="W34" s="116"/>
      <c r="X34" s="116"/>
      <c r="AA34" s="116"/>
    </row>
    <row r="35" spans="1:208" s="76" customFormat="1">
      <c r="A35" s="153" t="s">
        <v>50</v>
      </c>
      <c r="B35" s="497">
        <v>0</v>
      </c>
      <c r="C35" s="554">
        <v>0</v>
      </c>
      <c r="D35" s="561"/>
      <c r="E35" s="554"/>
      <c r="F35" s="71"/>
      <c r="G35" s="74"/>
      <c r="H35" s="74"/>
      <c r="I35" s="74"/>
      <c r="J35" s="74"/>
      <c r="K35" s="74"/>
      <c r="L35" s="74"/>
      <c r="M35" s="74"/>
      <c r="N35" s="142"/>
      <c r="O35" s="142"/>
      <c r="P35" s="142"/>
      <c r="Q35" s="142"/>
      <c r="R35" s="142"/>
      <c r="S35" s="152"/>
      <c r="T35" s="116"/>
      <c r="U35" s="805"/>
      <c r="V35" s="805"/>
      <c r="W35" s="116"/>
      <c r="X35" s="116"/>
      <c r="AA35" s="116"/>
    </row>
    <row r="36" spans="1:208" s="76" customFormat="1">
      <c r="A36" s="153" t="s">
        <v>54</v>
      </c>
      <c r="B36" s="497">
        <v>0</v>
      </c>
      <c r="C36" s="561">
        <v>0</v>
      </c>
      <c r="D36" s="561"/>
      <c r="E36" s="554"/>
      <c r="F36" s="71"/>
      <c r="G36" s="74"/>
      <c r="H36" s="118"/>
      <c r="I36" s="118"/>
      <c r="J36" s="74"/>
      <c r="K36" s="74"/>
      <c r="L36" s="74"/>
      <c r="M36" s="74"/>
      <c r="N36" s="142"/>
      <c r="O36" s="142"/>
      <c r="P36" s="142"/>
      <c r="Q36" s="142"/>
      <c r="R36" s="142"/>
      <c r="S36" s="152"/>
      <c r="T36" s="119"/>
      <c r="U36" s="805"/>
      <c r="V36" s="805"/>
      <c r="W36" s="116"/>
      <c r="X36" s="116"/>
      <c r="AA36" s="116"/>
    </row>
    <row r="37" spans="1:208" s="76" customFormat="1">
      <c r="A37" s="155" t="s">
        <v>51</v>
      </c>
      <c r="B37" s="800"/>
      <c r="C37" s="562"/>
      <c r="D37" s="578"/>
      <c r="E37" s="562"/>
      <c r="F37" s="103"/>
      <c r="G37" s="100"/>
      <c r="H37" s="249"/>
      <c r="I37" s="249"/>
      <c r="J37" s="100"/>
      <c r="K37" s="100"/>
      <c r="L37" s="100"/>
      <c r="M37" s="100"/>
      <c r="N37" s="142"/>
      <c r="O37" s="142"/>
      <c r="P37" s="142"/>
      <c r="Q37" s="142"/>
      <c r="R37" s="142"/>
      <c r="S37" s="186"/>
      <c r="T37" s="189"/>
      <c r="U37" s="805"/>
      <c r="V37" s="805"/>
      <c r="W37" s="116"/>
      <c r="X37" s="116"/>
      <c r="AA37" s="116"/>
    </row>
    <row r="38" spans="1:208" s="169" customFormat="1" ht="7.5" thickBot="1">
      <c r="A38" s="166" t="s">
        <v>76</v>
      </c>
      <c r="B38" s="51">
        <v>0</v>
      </c>
      <c r="C38" s="557">
        <v>67.289999999999992</v>
      </c>
      <c r="D38" s="575"/>
      <c r="E38" s="557"/>
      <c r="F38" s="586"/>
      <c r="G38" s="47"/>
      <c r="H38" s="263"/>
      <c r="I38" s="263"/>
      <c r="J38" s="47"/>
      <c r="K38" s="47"/>
      <c r="L38" s="47"/>
      <c r="M38" s="47"/>
      <c r="N38" s="172"/>
      <c r="O38" s="172"/>
      <c r="P38" s="172"/>
      <c r="Q38" s="172"/>
      <c r="R38" s="171"/>
      <c r="S38" s="187"/>
      <c r="T38" s="806"/>
      <c r="U38" s="805"/>
      <c r="V38" s="805"/>
      <c r="W38" s="805"/>
      <c r="X38" s="805"/>
      <c r="AA38" s="116"/>
    </row>
    <row r="39" spans="1:208" s="76" customFormat="1" ht="11.5" thickTop="1" thickBot="1">
      <c r="A39" s="173" t="s">
        <v>55</v>
      </c>
      <c r="B39" s="54">
        <v>43.88</v>
      </c>
      <c r="C39" s="563">
        <v>67.289999999999992</v>
      </c>
      <c r="D39" s="54">
        <f>SUM(D32:D37)+D31</f>
        <v>0</v>
      </c>
      <c r="E39" s="563"/>
      <c r="F39" s="587"/>
      <c r="G39" s="84"/>
      <c r="H39" s="264"/>
      <c r="I39" s="264"/>
      <c r="J39" s="84"/>
      <c r="K39" s="84"/>
      <c r="L39" s="84"/>
      <c r="M39" s="84"/>
      <c r="N39" s="174"/>
      <c r="O39" s="174"/>
      <c r="P39" s="174"/>
      <c r="Q39" s="174"/>
      <c r="R39" s="174"/>
      <c r="S39" s="175"/>
      <c r="T39" s="119"/>
      <c r="U39" s="805"/>
      <c r="V39" s="805"/>
      <c r="W39" s="116"/>
      <c r="X39" s="116"/>
      <c r="AA39" s="213"/>
    </row>
    <row r="40" spans="1:208" s="76" customFormat="1" ht="8" thickTop="1" thickBot="1">
      <c r="A40" s="303" t="s">
        <v>131</v>
      </c>
      <c r="B40" s="307">
        <v>-43.88</v>
      </c>
      <c r="C40" s="564">
        <v>-67.289999999999992</v>
      </c>
      <c r="D40" s="307">
        <f>D25-D39</f>
        <v>0</v>
      </c>
      <c r="E40" s="564"/>
      <c r="F40" s="308"/>
      <c r="G40" s="304"/>
      <c r="H40" s="304"/>
      <c r="I40" s="304"/>
      <c r="J40" s="85"/>
      <c r="K40" s="85"/>
      <c r="L40" s="54"/>
      <c r="M40" s="54"/>
      <c r="N40" s="141"/>
      <c r="O40" s="141"/>
      <c r="P40" s="141"/>
      <c r="Q40" s="141"/>
      <c r="R40" s="141"/>
      <c r="S40" s="165"/>
      <c r="T40" s="119"/>
      <c r="U40" s="805"/>
      <c r="V40" s="805"/>
      <c r="W40" s="116"/>
      <c r="X40" s="116"/>
      <c r="AA40" s="213"/>
    </row>
    <row r="41" spans="1:208" s="208" customFormat="1" ht="8" thickTop="1" thickBot="1">
      <c r="A41" s="96" t="s">
        <v>130</v>
      </c>
      <c r="B41" s="358" t="s">
        <v>235</v>
      </c>
      <c r="C41" s="358" t="s">
        <v>235</v>
      </c>
      <c r="D41" s="358" t="str">
        <f t="shared" ref="D41:I41" si="5">IF(D40=0,"","post bal.")</f>
        <v/>
      </c>
      <c r="E41" s="358" t="str">
        <f t="shared" si="5"/>
        <v/>
      </c>
      <c r="F41" s="588" t="str">
        <f t="shared" si="5"/>
        <v/>
      </c>
      <c r="G41" s="358" t="str">
        <f t="shared" si="5"/>
        <v/>
      </c>
      <c r="H41" s="358" t="str">
        <f t="shared" si="5"/>
        <v/>
      </c>
      <c r="I41" s="358" t="str">
        <f t="shared" si="5"/>
        <v/>
      </c>
      <c r="J41" s="250" t="str">
        <f>IF(J39=0,"","post bal.")</f>
        <v/>
      </c>
      <c r="K41" s="250" t="str">
        <f>IF(K39=0,"","post bal.")</f>
        <v/>
      </c>
      <c r="L41" s="253" t="str">
        <f>IF(L39=0,"","post bal.")</f>
        <v/>
      </c>
      <c r="M41" s="253" t="str">
        <f>IF(M39=0,"","post bal.")</f>
        <v/>
      </c>
      <c r="N41" s="253" t="str">
        <f>IF(N39=0,"","post bal.")</f>
        <v/>
      </c>
      <c r="O41" s="210"/>
      <c r="P41" s="210"/>
      <c r="Q41" s="210"/>
      <c r="R41" s="210"/>
      <c r="S41" s="211"/>
      <c r="T41" s="807"/>
      <c r="U41" s="805"/>
      <c r="V41" s="805"/>
      <c r="W41" s="207"/>
      <c r="X41" s="207"/>
      <c r="AA41" s="212">
        <f>SUM(B42:Y42)</f>
        <v>0</v>
      </c>
    </row>
    <row r="42" spans="1:208" s="76" customFormat="1" ht="7.5" hidden="1" thickTop="1">
      <c r="B42" s="75">
        <f t="shared" ref="B42:G42" si="6">IF(B41="post bal.",B40,0)</f>
        <v>0</v>
      </c>
      <c r="C42" s="75">
        <f t="shared" si="6"/>
        <v>0</v>
      </c>
      <c r="D42" s="75">
        <f t="shared" si="6"/>
        <v>0</v>
      </c>
      <c r="E42" s="75">
        <f t="shared" si="6"/>
        <v>0</v>
      </c>
      <c r="F42" s="75">
        <f t="shared" si="6"/>
        <v>0</v>
      </c>
      <c r="G42" s="75">
        <f t="shared" si="6"/>
        <v>0</v>
      </c>
      <c r="I42" s="75">
        <f>IF(I41="post bal.",I40,0)</f>
        <v>0</v>
      </c>
      <c r="J42" s="75">
        <f t="shared" ref="J42:R42" si="7">IF(J41="post bal.",J39,0)</f>
        <v>0</v>
      </c>
      <c r="K42" s="75">
        <f t="shared" si="7"/>
        <v>0</v>
      </c>
      <c r="L42" s="75">
        <f t="shared" si="7"/>
        <v>0</v>
      </c>
      <c r="M42" s="75">
        <f t="shared" si="7"/>
        <v>0</v>
      </c>
      <c r="N42" s="75">
        <f t="shared" si="7"/>
        <v>0</v>
      </c>
      <c r="O42" s="75">
        <f t="shared" si="7"/>
        <v>0</v>
      </c>
      <c r="P42" s="75">
        <f t="shared" si="7"/>
        <v>0</v>
      </c>
      <c r="Q42" s="75">
        <f t="shared" si="7"/>
        <v>0</v>
      </c>
      <c r="R42" s="75">
        <f t="shared" si="7"/>
        <v>0</v>
      </c>
      <c r="S42" s="116"/>
      <c r="T42" s="116"/>
      <c r="U42" s="805"/>
      <c r="V42" s="805"/>
      <c r="W42" s="116"/>
      <c r="X42" s="116"/>
      <c r="Y42" s="75"/>
      <c r="AB42" s="76" t="s">
        <v>69</v>
      </c>
      <c r="AC42" s="76" t="s">
        <v>69</v>
      </c>
    </row>
    <row r="43" spans="1:208" ht="7.5" thickTop="1">
      <c r="U43" s="805"/>
      <c r="V43" s="805"/>
      <c r="AA43" s="116"/>
    </row>
    <row r="44" spans="1:208" ht="11.5" hidden="1" thickTop="1" thickBot="1">
      <c r="A44" s="11" t="s">
        <v>11</v>
      </c>
      <c r="U44" s="805"/>
      <c r="V44" s="805"/>
      <c r="AA44" s="90"/>
    </row>
    <row r="45" spans="1:208" ht="7.5" hidden="1" thickTop="1">
      <c r="A45" s="87" t="s">
        <v>70</v>
      </c>
      <c r="B45" s="61"/>
      <c r="C45" s="17"/>
      <c r="D45" s="17"/>
      <c r="E45" s="17"/>
      <c r="F45" s="17"/>
      <c r="G45" s="21"/>
      <c r="H45" s="234"/>
      <c r="I45" s="162"/>
      <c r="J45" s="162"/>
      <c r="K45" s="162"/>
      <c r="L45" s="162"/>
      <c r="M45" s="162"/>
      <c r="N45" s="162"/>
      <c r="O45" s="162"/>
      <c r="P45" s="327"/>
      <c r="Q45" s="162"/>
      <c r="R45" s="162"/>
      <c r="S45" s="162"/>
      <c r="T45" s="162"/>
      <c r="U45" s="805"/>
      <c r="V45" s="805"/>
      <c r="W45" s="162"/>
      <c r="X45" s="162"/>
      <c r="Y45" s="162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71</v>
      </c>
      <c r="B46" s="86"/>
      <c r="C46" s="86"/>
      <c r="D46" s="86"/>
      <c r="E46" s="86"/>
      <c r="F46" s="88"/>
      <c r="G46" s="89"/>
      <c r="H46" s="235"/>
      <c r="I46" s="89"/>
      <c r="J46" s="89"/>
      <c r="K46" s="89"/>
      <c r="L46" s="89"/>
      <c r="M46" s="89"/>
      <c r="N46" s="89"/>
      <c r="O46" s="89"/>
      <c r="P46" s="89"/>
      <c r="Q46" s="89"/>
      <c r="R46" s="162"/>
      <c r="S46" s="162"/>
      <c r="T46" s="162"/>
      <c r="U46" s="805"/>
      <c r="V46" s="805"/>
      <c r="W46" s="162"/>
      <c r="X46" s="162"/>
      <c r="Y46" s="162"/>
    </row>
    <row r="47" spans="1:208" hidden="1">
      <c r="A47" s="104" t="s">
        <v>14</v>
      </c>
      <c r="B47" s="105"/>
      <c r="C47" s="105"/>
      <c r="D47" s="105"/>
      <c r="E47" s="105"/>
      <c r="F47" s="105"/>
      <c r="G47" s="107"/>
      <c r="H47" s="236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805"/>
      <c r="V47" s="805"/>
      <c r="W47" s="70"/>
      <c r="X47" s="70"/>
      <c r="Y47" s="70"/>
    </row>
    <row r="48" spans="1:208" ht="7.5" hidden="1" thickBot="1">
      <c r="A48" s="108" t="s">
        <v>15</v>
      </c>
      <c r="B48" s="313"/>
      <c r="C48" s="98"/>
      <c r="D48" s="98"/>
      <c r="E48" s="98"/>
      <c r="F48" s="98"/>
      <c r="G48" s="111"/>
      <c r="H48" s="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805"/>
      <c r="V48" s="805"/>
      <c r="W48" s="70"/>
      <c r="X48" s="70"/>
      <c r="Y48" s="70"/>
    </row>
    <row r="49" spans="1:27" ht="7.5" hidden="1" thickTop="1">
      <c r="A49" s="280" t="s">
        <v>123</v>
      </c>
      <c r="B49" s="281">
        <f>IF(OR(ISTEXT(B46),B46=0),Summary!$E$1-7,B46-MOD(B46-Summary!$E$1,7))</f>
        <v>44280</v>
      </c>
      <c r="C49" s="281">
        <f>IF(OR(ISTEXT(C46),C46=0),Summary!$E$1-7,C46-MOD(C46-Summary!$E$1,7))</f>
        <v>44280</v>
      </c>
      <c r="D49" s="281">
        <f>IF(OR(ISTEXT(D46),D46=0),Summary!$E$1-7,D46-MOD(D46-Summary!$E$1,7))</f>
        <v>44280</v>
      </c>
      <c r="E49" s="281">
        <f>IF(OR(ISTEXT(E46),E46=0),Summary!$E$1-7,E46-MOD(E46-Summary!$E$1,7))</f>
        <v>44280</v>
      </c>
      <c r="F49" s="281">
        <f>IF(OR(ISTEXT(F46),F46=0),Summary!$E$1-7,F46-MOD(F46-Summary!$E$1,7))</f>
        <v>44280</v>
      </c>
      <c r="G49" s="281">
        <f>IF(OR(ISTEXT(G46),G46=0),Summary!$E$1-7,G46-MOD(G46-Summary!$E$1,7))</f>
        <v>44280</v>
      </c>
      <c r="H49" s="9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805"/>
      <c r="V49" s="805"/>
      <c r="W49" s="70"/>
      <c r="X49" s="70"/>
      <c r="Y49" s="70"/>
    </row>
    <row r="50" spans="1:27" hidden="1">
      <c r="A50" s="274" t="s">
        <v>121</v>
      </c>
      <c r="B50" s="273"/>
      <c r="C50" s="273"/>
      <c r="D50" s="273"/>
      <c r="E50" s="273"/>
      <c r="F50" s="273"/>
      <c r="G50" s="273"/>
      <c r="H50" s="9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805"/>
      <c r="V50" s="805"/>
      <c r="W50" s="70"/>
      <c r="X50" s="70"/>
      <c r="Y50" s="70"/>
    </row>
    <row r="51" spans="1:27" ht="7.5" hidden="1" thickBot="1">
      <c r="A51" s="274" t="s">
        <v>122</v>
      </c>
      <c r="B51" s="273">
        <f t="shared" ref="B51:G51" si="8">IF(ISERROR(B46-A46),0,IF(OR(B46-A46&lt;7,LEN(B45)&gt;6),0,1))</f>
        <v>0</v>
      </c>
      <c r="C51" s="273">
        <f t="shared" si="8"/>
        <v>0</v>
      </c>
      <c r="D51" s="273">
        <f t="shared" si="8"/>
        <v>0</v>
      </c>
      <c r="E51" s="273">
        <f t="shared" si="8"/>
        <v>0</v>
      </c>
      <c r="F51" s="273">
        <f t="shared" si="8"/>
        <v>0</v>
      </c>
      <c r="G51" s="273">
        <f t="shared" si="8"/>
        <v>0</v>
      </c>
      <c r="H51" s="9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805"/>
      <c r="V51" s="805"/>
      <c r="W51" s="70"/>
      <c r="X51" s="70"/>
      <c r="Y51" s="70"/>
    </row>
    <row r="52" spans="1:27" ht="11.5" hidden="1" thickTop="1" thickBot="1">
      <c r="A52" s="68" t="s">
        <v>16</v>
      </c>
      <c r="H52" s="9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805"/>
      <c r="V52" s="805"/>
      <c r="W52" s="70"/>
      <c r="X52" s="70"/>
      <c r="Y52" s="70"/>
      <c r="AA52" s="90"/>
    </row>
    <row r="53" spans="1:27" s="76" customFormat="1" ht="7.5" hidden="1" thickTop="1">
      <c r="A53" s="164" t="s">
        <v>25</v>
      </c>
      <c r="B53" s="141"/>
      <c r="C53" s="141"/>
      <c r="D53" s="141"/>
      <c r="E53" s="141"/>
      <c r="F53" s="141"/>
      <c r="G53" s="141"/>
      <c r="H53" s="119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805"/>
      <c r="V53" s="805"/>
      <c r="W53" s="116"/>
      <c r="X53" s="116"/>
      <c r="Y53" s="116"/>
      <c r="AA53" s="116"/>
    </row>
    <row r="54" spans="1:27" s="76" customFormat="1" hidden="1">
      <c r="A54" s="153" t="s">
        <v>26</v>
      </c>
      <c r="B54" s="142"/>
      <c r="C54" s="142"/>
      <c r="D54" s="142"/>
      <c r="E54" s="142"/>
      <c r="F54" s="142"/>
      <c r="G54" s="142"/>
      <c r="H54" s="119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805"/>
      <c r="V54" s="805"/>
      <c r="W54" s="116"/>
      <c r="X54" s="116"/>
      <c r="Y54" s="116"/>
      <c r="AA54" s="116"/>
    </row>
    <row r="55" spans="1:27" s="76" customFormat="1" ht="7.5" hidden="1" thickBot="1">
      <c r="A55" s="154" t="s">
        <v>29</v>
      </c>
      <c r="B55" s="142"/>
      <c r="C55" s="142"/>
      <c r="D55" s="142"/>
      <c r="E55" s="142"/>
      <c r="F55" s="142"/>
      <c r="G55" s="142"/>
      <c r="H55" s="119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805"/>
      <c r="V55" s="805"/>
      <c r="W55" s="116"/>
      <c r="X55" s="116"/>
      <c r="Y55" s="116"/>
      <c r="AA55" s="69"/>
    </row>
    <row r="56" spans="1:27" s="48" customFormat="1" ht="11.5" hidden="1" thickTop="1" thickBot="1">
      <c r="A56" s="115" t="s">
        <v>72</v>
      </c>
      <c r="B56" s="79">
        <f t="shared" ref="B56:G56" si="9">SUM(B53:B55)</f>
        <v>0</v>
      </c>
      <c r="C56" s="82">
        <f t="shared" si="9"/>
        <v>0</v>
      </c>
      <c r="D56" s="82">
        <f t="shared" si="9"/>
        <v>0</v>
      </c>
      <c r="E56" s="82">
        <f t="shared" si="9"/>
        <v>0</v>
      </c>
      <c r="F56" s="82">
        <f t="shared" si="9"/>
        <v>0</v>
      </c>
      <c r="G56" s="82">
        <f t="shared" si="9"/>
        <v>0</v>
      </c>
      <c r="H56" s="4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805"/>
      <c r="V56" s="805"/>
      <c r="W56" s="69"/>
      <c r="X56" s="69"/>
      <c r="Y56" s="69"/>
      <c r="AA56" s="109"/>
    </row>
    <row r="57" spans="1:27" ht="11.5" hidden="1" thickTop="1" thickBot="1">
      <c r="A57" s="11" t="s">
        <v>74</v>
      </c>
      <c r="B57" s="3" t="s">
        <v>112</v>
      </c>
      <c r="C57" s="3" t="s">
        <v>112</v>
      </c>
      <c r="D57" s="3" t="s">
        <v>112</v>
      </c>
      <c r="E57" s="3" t="s">
        <v>112</v>
      </c>
      <c r="F57" s="3" t="s">
        <v>112</v>
      </c>
      <c r="G57" s="3" t="s">
        <v>112</v>
      </c>
      <c r="H57" s="9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805"/>
      <c r="V57" s="805"/>
      <c r="W57" s="70"/>
      <c r="X57" s="70"/>
      <c r="Y57" s="70"/>
      <c r="AA57" s="116"/>
    </row>
    <row r="58" spans="1:27" s="76" customFormat="1" ht="7.5" hidden="1" thickTop="1">
      <c r="A58" s="164" t="s">
        <v>39</v>
      </c>
      <c r="B58" s="141"/>
      <c r="C58" s="141"/>
      <c r="D58" s="141"/>
      <c r="E58" s="141"/>
      <c r="F58" s="141"/>
      <c r="G58" s="141"/>
      <c r="H58" s="119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805"/>
      <c r="V58" s="805"/>
      <c r="W58" s="116"/>
      <c r="X58" s="116"/>
      <c r="Y58" s="116"/>
      <c r="AA58" s="116"/>
    </row>
    <row r="59" spans="1:27" s="76" customFormat="1" hidden="1">
      <c r="A59" s="153" t="s">
        <v>40</v>
      </c>
      <c r="B59" s="142"/>
      <c r="C59" s="142"/>
      <c r="D59" s="142"/>
      <c r="E59" s="142"/>
      <c r="F59" s="142"/>
      <c r="G59" s="142"/>
      <c r="H59" s="119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805"/>
      <c r="V59" s="805"/>
      <c r="W59" s="116"/>
      <c r="X59" s="116"/>
      <c r="Y59" s="116"/>
      <c r="AA59" s="116"/>
    </row>
    <row r="60" spans="1:27" s="76" customFormat="1" hidden="1">
      <c r="A60" s="153" t="s">
        <v>41</v>
      </c>
      <c r="B60" s="142"/>
      <c r="C60" s="142"/>
      <c r="D60" s="142"/>
      <c r="E60" s="142"/>
      <c r="F60" s="142"/>
      <c r="G60" s="142"/>
      <c r="H60" s="119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805"/>
      <c r="V60" s="805"/>
      <c r="W60" s="116"/>
      <c r="X60" s="116"/>
      <c r="Y60" s="116"/>
      <c r="AA60" s="116"/>
    </row>
    <row r="61" spans="1:27" s="76" customFormat="1" hidden="1">
      <c r="A61" s="155" t="s">
        <v>43</v>
      </c>
      <c r="B61" s="142"/>
      <c r="C61" s="142"/>
      <c r="D61" s="142"/>
      <c r="E61" s="142"/>
      <c r="F61" s="142"/>
      <c r="G61" s="142"/>
      <c r="H61" s="119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805"/>
      <c r="V61" s="805"/>
      <c r="W61" s="116"/>
      <c r="X61" s="116"/>
      <c r="Y61" s="116"/>
      <c r="AA61" s="116"/>
    </row>
    <row r="62" spans="1:27" s="76" customFormat="1" hidden="1">
      <c r="A62" s="166" t="s">
        <v>44</v>
      </c>
      <c r="B62" s="150">
        <f t="shared" ref="B62:G62" si="10">SUM(B58:B61)</f>
        <v>0</v>
      </c>
      <c r="C62" s="150">
        <f t="shared" si="10"/>
        <v>0</v>
      </c>
      <c r="D62" s="150">
        <f t="shared" si="10"/>
        <v>0</v>
      </c>
      <c r="E62" s="150">
        <f t="shared" si="10"/>
        <v>0</v>
      </c>
      <c r="F62" s="150">
        <f t="shared" si="10"/>
        <v>0</v>
      </c>
      <c r="G62" s="150">
        <f t="shared" si="10"/>
        <v>0</v>
      </c>
      <c r="H62" s="119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805"/>
      <c r="V62" s="805"/>
      <c r="W62" s="116"/>
      <c r="X62" s="116"/>
      <c r="Y62" s="116"/>
      <c r="AA62" s="116"/>
    </row>
    <row r="63" spans="1:27" s="76" customFormat="1" ht="7.5" hidden="1" thickBot="1">
      <c r="A63" s="170" t="s">
        <v>88</v>
      </c>
      <c r="B63" s="188"/>
      <c r="C63" s="144"/>
      <c r="D63" s="144"/>
      <c r="E63" s="144"/>
      <c r="F63" s="144"/>
      <c r="G63" s="144"/>
      <c r="H63" s="119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805"/>
      <c r="V63" s="805"/>
      <c r="W63" s="116"/>
      <c r="X63" s="116"/>
      <c r="Y63" s="116"/>
      <c r="AA63" s="69"/>
    </row>
    <row r="64" spans="1:27" s="48" customFormat="1" ht="11.5" hidden="1" thickTop="1" thickBot="1">
      <c r="A64" s="94" t="s">
        <v>75</v>
      </c>
      <c r="B64" s="69"/>
      <c r="C64" s="69"/>
      <c r="D64" s="69"/>
      <c r="E64" s="69"/>
      <c r="F64" s="69"/>
      <c r="G64" s="69"/>
      <c r="H64" s="4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805"/>
      <c r="V64" s="805"/>
      <c r="W64" s="69"/>
      <c r="X64" s="69"/>
      <c r="Y64" s="69"/>
      <c r="AA64" s="116"/>
    </row>
    <row r="65" spans="1:29" s="76" customFormat="1" ht="7.5" hidden="1" thickTop="1">
      <c r="A65" s="164" t="s">
        <v>49</v>
      </c>
      <c r="B65" s="140"/>
      <c r="C65" s="141"/>
      <c r="D65" s="141"/>
      <c r="E65" s="141"/>
      <c r="F65" s="141"/>
      <c r="G65" s="141"/>
      <c r="H65" s="119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805"/>
      <c r="V65" s="805"/>
      <c r="W65" s="116"/>
      <c r="X65" s="116"/>
      <c r="Y65" s="116"/>
      <c r="AA65" s="116"/>
    </row>
    <row r="66" spans="1:29" s="76" customFormat="1" hidden="1">
      <c r="A66" s="153" t="s">
        <v>50</v>
      </c>
      <c r="B66" s="119"/>
      <c r="C66" s="142"/>
      <c r="D66" s="142"/>
      <c r="E66" s="142"/>
      <c r="F66" s="142"/>
      <c r="G66" s="142"/>
      <c r="H66" s="119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805"/>
      <c r="V66" s="805"/>
      <c r="W66" s="116"/>
      <c r="X66" s="116"/>
      <c r="Y66" s="116"/>
      <c r="AA66" s="116"/>
    </row>
    <row r="67" spans="1:29" s="76" customFormat="1" hidden="1">
      <c r="A67" s="153" t="s">
        <v>54</v>
      </c>
      <c r="B67" s="119"/>
      <c r="C67" s="142"/>
      <c r="D67" s="142"/>
      <c r="E67" s="142"/>
      <c r="F67" s="142"/>
      <c r="G67" s="142"/>
      <c r="H67" s="119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805"/>
      <c r="V67" s="805"/>
      <c r="W67" s="116"/>
      <c r="X67" s="116"/>
      <c r="Y67" s="116"/>
      <c r="AA67" s="116"/>
    </row>
    <row r="68" spans="1:29" s="76" customFormat="1" hidden="1">
      <c r="A68" s="155" t="s">
        <v>51</v>
      </c>
      <c r="B68" s="189"/>
      <c r="C68" s="190"/>
      <c r="D68" s="190"/>
      <c r="E68" s="190"/>
      <c r="F68" s="190"/>
      <c r="G68" s="190"/>
      <c r="H68" s="119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805"/>
      <c r="V68" s="805"/>
      <c r="W68" s="116"/>
      <c r="X68" s="116"/>
      <c r="Y68" s="116"/>
      <c r="AA68" s="116"/>
    </row>
    <row r="69" spans="1:29" s="76" customFormat="1" ht="7.5" hidden="1" thickBot="1">
      <c r="A69" s="166" t="s">
        <v>76</v>
      </c>
      <c r="B69" s="117">
        <f t="shared" ref="B69:G69" si="11">SUM(B65:B68)</f>
        <v>0</v>
      </c>
      <c r="C69" s="117">
        <f t="shared" si="11"/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6">
        <f t="shared" si="11"/>
        <v>0</v>
      </c>
      <c r="H69" s="119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805"/>
      <c r="V69" s="805"/>
      <c r="W69" s="116"/>
      <c r="X69" s="116"/>
      <c r="Y69" s="116"/>
      <c r="AA69" s="116"/>
    </row>
    <row r="70" spans="1:29" s="76" customFormat="1" ht="11.5" hidden="1" thickTop="1" thickBot="1">
      <c r="A70" s="173" t="s">
        <v>55</v>
      </c>
      <c r="B70" s="80">
        <f t="shared" ref="B70:G70" si="12">SUM(B63:B68)+B62</f>
        <v>0</v>
      </c>
      <c r="C70" s="174">
        <f t="shared" si="12"/>
        <v>0</v>
      </c>
      <c r="D70" s="174">
        <f t="shared" si="12"/>
        <v>0</v>
      </c>
      <c r="E70" s="174">
        <f t="shared" si="12"/>
        <v>0</v>
      </c>
      <c r="F70" s="174">
        <f t="shared" si="12"/>
        <v>0</v>
      </c>
      <c r="G70" s="174">
        <f t="shared" si="12"/>
        <v>0</v>
      </c>
      <c r="H70" s="119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805"/>
      <c r="V70" s="805"/>
      <c r="W70" s="116"/>
      <c r="X70" s="116"/>
      <c r="Y70" s="116"/>
      <c r="AA70" s="109"/>
    </row>
    <row r="71" spans="1:29" s="76" customFormat="1" ht="8" hidden="1" thickTop="1" thickBot="1">
      <c r="A71" s="303" t="s">
        <v>131</v>
      </c>
      <c r="B71" s="312">
        <f t="shared" ref="B71:G71" si="13">B56-B70</f>
        <v>0</v>
      </c>
      <c r="C71" s="141">
        <f t="shared" si="13"/>
        <v>0</v>
      </c>
      <c r="D71" s="141">
        <f t="shared" si="13"/>
        <v>0</v>
      </c>
      <c r="E71" s="141">
        <f t="shared" si="13"/>
        <v>0</v>
      </c>
      <c r="F71" s="141">
        <f t="shared" si="13"/>
        <v>0</v>
      </c>
      <c r="G71" s="141">
        <f t="shared" si="13"/>
        <v>0</v>
      </c>
      <c r="H71" s="119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805"/>
      <c r="V71" s="805"/>
      <c r="W71" s="116"/>
      <c r="X71" s="116"/>
      <c r="Y71" s="116"/>
      <c r="AA71" s="109"/>
    </row>
    <row r="72" spans="1:29" s="208" customFormat="1" ht="8" hidden="1" thickTop="1" thickBot="1">
      <c r="A72" s="96" t="s">
        <v>77</v>
      </c>
      <c r="B72" s="205" t="str">
        <f t="shared" ref="B72:G72" si="14">IF(B71=0,"","post bal.")</f>
        <v/>
      </c>
      <c r="C72" s="205" t="str">
        <f t="shared" si="14"/>
        <v/>
      </c>
      <c r="D72" s="205" t="str">
        <f t="shared" si="14"/>
        <v/>
      </c>
      <c r="E72" s="205" t="str">
        <f t="shared" si="14"/>
        <v/>
      </c>
      <c r="F72" s="205" t="str">
        <f t="shared" si="14"/>
        <v/>
      </c>
      <c r="G72" s="253" t="str">
        <f t="shared" si="14"/>
        <v/>
      </c>
      <c r="H72" s="232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805"/>
      <c r="V72" s="805"/>
      <c r="W72" s="207"/>
      <c r="X72" s="207"/>
      <c r="Y72" s="207"/>
      <c r="AA72" s="212">
        <f>SUM(B73:Y73)</f>
        <v>0</v>
      </c>
    </row>
    <row r="73" spans="1:29" s="76" customFormat="1" ht="7.5" hidden="1" thickTop="1">
      <c r="B73" s="75">
        <f t="shared" ref="B73:G73" si="15">IF(B72="post bal.",B71,0)</f>
        <v>0</v>
      </c>
      <c r="C73" s="75">
        <f t="shared" si="15"/>
        <v>0</v>
      </c>
      <c r="D73" s="75">
        <f t="shared" si="15"/>
        <v>0</v>
      </c>
      <c r="E73" s="75">
        <f t="shared" si="15"/>
        <v>0</v>
      </c>
      <c r="F73" s="75">
        <f t="shared" si="15"/>
        <v>0</v>
      </c>
      <c r="G73" s="75">
        <f t="shared" si="15"/>
        <v>0</v>
      </c>
      <c r="H73" s="116">
        <f t="shared" ref="H73:O73" si="16">IF(H72="post bal.",H70,0)</f>
        <v>0</v>
      </c>
      <c r="I73" s="116">
        <f t="shared" si="16"/>
        <v>0</v>
      </c>
      <c r="J73" s="116">
        <f t="shared" si="16"/>
        <v>0</v>
      </c>
      <c r="K73" s="116">
        <f t="shared" si="16"/>
        <v>0</v>
      </c>
      <c r="L73" s="116">
        <f t="shared" si="16"/>
        <v>0</v>
      </c>
      <c r="M73" s="116">
        <f t="shared" si="16"/>
        <v>0</v>
      </c>
      <c r="N73" s="116">
        <f t="shared" si="16"/>
        <v>0</v>
      </c>
      <c r="O73" s="116">
        <f t="shared" si="16"/>
        <v>0</v>
      </c>
      <c r="P73" s="116">
        <f>IF(P72="post bal.",P70,0)</f>
        <v>0</v>
      </c>
      <c r="Q73" s="116">
        <f>IF(Q72="post bal.",Q70,0)</f>
        <v>0</v>
      </c>
      <c r="R73" s="116">
        <f>IF(R72="post bal.",R70,0)</f>
        <v>0</v>
      </c>
      <c r="S73" s="116"/>
      <c r="T73" s="116"/>
      <c r="U73" s="805"/>
      <c r="V73" s="805"/>
      <c r="W73" s="116"/>
      <c r="X73" s="116"/>
      <c r="Y73" s="116"/>
      <c r="AA73" s="70"/>
      <c r="AB73" s="76" t="s">
        <v>69</v>
      </c>
      <c r="AC73" s="76" t="s">
        <v>69</v>
      </c>
    </row>
    <row r="74" spans="1:29" ht="7.5" hidden="1" thickTop="1">
      <c r="U74" s="805"/>
      <c r="V74" s="805"/>
      <c r="AA74" s="69"/>
    </row>
    <row r="75" spans="1:29" s="69" customFormat="1">
      <c r="U75" s="805"/>
      <c r="V75" s="805"/>
    </row>
    <row r="76" spans="1:29" s="69" customFormat="1">
      <c r="U76" s="805"/>
      <c r="V76" s="805"/>
    </row>
    <row r="77" spans="1:29" s="69" customFormat="1"/>
    <row r="78" spans="1:29" s="69" customFormat="1"/>
    <row r="79" spans="1:29" s="69" customFormat="1"/>
    <row r="80" spans="1:29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pans="27:27" s="69" customFormat="1"/>
    <row r="98" spans="27:27" s="69" customFormat="1"/>
    <row r="99" spans="27:27" s="69" customFormat="1"/>
    <row r="100" spans="27:27" s="69" customFormat="1"/>
    <row r="101" spans="27:27" s="69" customFormat="1"/>
    <row r="102" spans="27:27" s="69" customFormat="1"/>
    <row r="103" spans="27:27" s="69" customFormat="1"/>
    <row r="104" spans="27:27" s="69" customFormat="1"/>
    <row r="105" spans="27:27" s="69" customFormat="1"/>
    <row r="106" spans="27:27" s="69" customFormat="1"/>
    <row r="107" spans="27:27" s="69" customFormat="1"/>
    <row r="108" spans="27:27" s="69" customFormat="1"/>
    <row r="109" spans="27:27" s="69" customFormat="1">
      <c r="AA109" s="70"/>
    </row>
    <row r="110" spans="27:27" s="69" customFormat="1">
      <c r="AA110" s="70"/>
    </row>
    <row r="111" spans="27:27" s="69" customFormat="1">
      <c r="AA111" s="70"/>
    </row>
    <row r="112" spans="27:27" s="70" customFormat="1">
      <c r="AA112" s="163"/>
    </row>
    <row r="113" spans="5:27" s="70" customFormat="1">
      <c r="AA113" s="69"/>
    </row>
    <row r="114" spans="5:27" s="70" customFormat="1"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AA114" s="69"/>
    </row>
    <row r="115" spans="5:27" s="70" customFormat="1"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AA115" s="69"/>
    </row>
    <row r="116" spans="5:27" s="69" customFormat="1"/>
    <row r="117" spans="5:27" s="69" customFormat="1"/>
    <row r="118" spans="5:27" s="69" customFormat="1"/>
    <row r="119" spans="5:27" s="69" customFormat="1"/>
    <row r="120" spans="5:27" s="69" customFormat="1"/>
    <row r="121" spans="5:27" s="69" customFormat="1"/>
    <row r="122" spans="5:27" s="69" customFormat="1"/>
    <row r="123" spans="5:27" s="69" customFormat="1"/>
    <row r="124" spans="5:27" s="69" customFormat="1"/>
    <row r="125" spans="5:27" s="69" customFormat="1"/>
    <row r="126" spans="5:27" s="69" customFormat="1"/>
    <row r="127" spans="5:27" s="69" customFormat="1"/>
    <row r="128" spans="5:27" s="69" customFormat="1"/>
    <row r="129" spans="27:27" s="69" customFormat="1"/>
    <row r="130" spans="27:27" s="69" customFormat="1"/>
    <row r="131" spans="27:27" s="69" customFormat="1"/>
    <row r="132" spans="27:27" s="69" customFormat="1"/>
    <row r="133" spans="27:27" s="69" customFormat="1"/>
    <row r="134" spans="27:27" s="69" customFormat="1"/>
    <row r="135" spans="27:27" s="69" customFormat="1"/>
    <row r="136" spans="27:27" s="69" customFormat="1"/>
    <row r="137" spans="27:27" s="69" customFormat="1"/>
    <row r="138" spans="27:27" s="69" customFormat="1"/>
    <row r="139" spans="27:27" s="69" customFormat="1"/>
    <row r="140" spans="27:27" s="69" customFormat="1"/>
    <row r="141" spans="27:27" s="69" customFormat="1">
      <c r="AA141" s="70"/>
    </row>
    <row r="142" spans="27:27" s="69" customFormat="1">
      <c r="AA142" s="70"/>
    </row>
    <row r="143" spans="27:27" s="69" customFormat="1">
      <c r="AA143" s="70"/>
    </row>
    <row r="144" spans="27:27" s="70" customFormat="1"/>
    <row r="145" spans="6:27" s="70" customFormat="1">
      <c r="AA145" s="69"/>
    </row>
    <row r="146" spans="6:27" s="70" customFormat="1">
      <c r="AA146" s="69"/>
    </row>
    <row r="147" spans="6:27" s="70" customFormat="1"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AA147" s="69"/>
    </row>
    <row r="148" spans="6:27" s="69" customFormat="1"/>
    <row r="149" spans="6:27" s="69" customFormat="1"/>
    <row r="150" spans="6:27" s="69" customFormat="1"/>
    <row r="151" spans="6:27" s="69" customFormat="1"/>
    <row r="152" spans="6:27" s="69" customFormat="1"/>
    <row r="153" spans="6:27" s="69" customFormat="1"/>
    <row r="154" spans="6:27" s="69" customFormat="1"/>
    <row r="155" spans="6:27" s="69" customFormat="1"/>
    <row r="156" spans="6:27" s="69" customFormat="1"/>
    <row r="157" spans="6:27" s="69" customFormat="1"/>
    <row r="158" spans="6:27" s="69" customFormat="1">
      <c r="AA158" s="70"/>
    </row>
    <row r="159" spans="6:27" s="69" customFormat="1">
      <c r="AA159" s="70"/>
    </row>
    <row r="160" spans="6:27" s="69" customFormat="1">
      <c r="AA160" s="70"/>
    </row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</sheetData>
  <sheetProtection sheet="1" objects="1" scenarios="1"/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T86"/>
  <sheetViews>
    <sheetView showZeros="0" topLeftCell="A4" workbookViewId="0">
      <pane xSplit="1" topLeftCell="B1" activePane="topRight" state="frozen"/>
      <selection activeCell="R6" sqref="R6"/>
      <selection pane="topRight" activeCell="CB60" sqref="CB60"/>
    </sheetView>
  </sheetViews>
  <sheetFormatPr defaultRowHeight="7"/>
  <cols>
    <col min="1" max="1" width="51" style="130" customWidth="1"/>
    <col min="2" max="2" width="10.83203125" hidden="1" customWidth="1"/>
    <col min="3" max="4" width="11" hidden="1" customWidth="1"/>
    <col min="5" max="5" width="11" customWidth="1"/>
    <col min="6" max="12" width="10.83203125" customWidth="1"/>
    <col min="13" max="13" width="10.83203125" hidden="1" customWidth="1"/>
    <col min="14" max="14" width="10.83203125" customWidth="1"/>
    <col min="15" max="16" width="10.83203125" hidden="1" customWidth="1"/>
    <col min="17" max="18" width="10.83203125" customWidth="1"/>
    <col min="19" max="39" width="10.83203125" hidden="1" customWidth="1"/>
    <col min="40" max="40" width="10.83203125" customWidth="1"/>
    <col min="41" max="68" width="10.83203125" hidden="1" customWidth="1"/>
    <col min="69" max="69" width="11" hidden="1" customWidth="1"/>
    <col min="70" max="70" width="1.83203125" style="126" customWidth="1"/>
  </cols>
  <sheetData>
    <row r="1" spans="1:72" s="1" customFormat="1" ht="35">
      <c r="A1" s="218" t="str">
        <f>Summary!$A$2</f>
        <v>OLYMPIC ACCOUNTS</v>
      </c>
      <c r="AD1" s="70"/>
      <c r="AE1" s="70"/>
      <c r="AF1" s="70"/>
      <c r="AG1" s="70"/>
      <c r="AH1" s="70"/>
      <c r="AI1" s="70"/>
      <c r="AJ1" s="70"/>
      <c r="AK1" s="70"/>
      <c r="AL1" s="70"/>
      <c r="AP1" s="70"/>
      <c r="AQ1" s="70"/>
      <c r="AR1" s="70"/>
      <c r="BR1" s="798" t="str">
        <f ca="1">Summary!$T$2</f>
        <v>06 February 2022</v>
      </c>
    </row>
    <row r="2" spans="1:72" s="1" customFormat="1" ht="27.5">
      <c r="A2" s="222" t="s">
        <v>104</v>
      </c>
      <c r="S2" s="22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72" s="1" customFormat="1" ht="34.5" customHeight="1" thickBot="1">
      <c r="A3" s="433"/>
      <c r="H3" s="219"/>
      <c r="S3" s="22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</row>
    <row r="4" spans="1:72" s="239" customFormat="1" ht="11" thickTop="1">
      <c r="A4" s="240" t="s">
        <v>50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Swanley</v>
      </c>
      <c r="F4" s="18" t="str">
        <f>MAINTENANCE!G3</f>
        <v>Allen-Mead</v>
      </c>
      <c r="G4" s="18" t="str">
        <f>MAINTENANCE!H3</f>
        <v>Swanley</v>
      </c>
      <c r="H4" s="18" t="str">
        <f>MAINTENANCE!I3</f>
        <v>Allen-Mead</v>
      </c>
      <c r="I4" s="18" t="str">
        <f>MAINTENANCE!J3</f>
        <v>Swanley</v>
      </c>
      <c r="J4" s="18" t="str">
        <f>MAINTENANCE!K3</f>
        <v>Allen-Mead</v>
      </c>
      <c r="K4" s="18" t="str">
        <f>MAINTENANCE!L3</f>
        <v>PB</v>
      </c>
      <c r="L4" s="18" t="str">
        <f>MAINTENANCE!M3</f>
        <v>PB</v>
      </c>
      <c r="M4" s="18" t="str">
        <f>MAINTENANCE!N3</f>
        <v>Atlass</v>
      </c>
      <c r="N4" s="18" t="str">
        <f>MAINTENANCE!O3</f>
        <v>DK</v>
      </c>
      <c r="O4" s="18" t="str">
        <f>MAINTENANCE!P3</f>
        <v>Atlass</v>
      </c>
      <c r="P4" s="18" t="str">
        <f>MAINTENANCE!Q3</f>
        <v>Kee</v>
      </c>
      <c r="Q4" s="18" t="str">
        <f>MAINTENANCE!R3</f>
        <v>Kee</v>
      </c>
      <c r="R4" s="18" t="str">
        <f>MAINTENANCE!S3</f>
        <v>Atlass</v>
      </c>
      <c r="S4" s="18" t="str">
        <f>MAINTENANCE!T3</f>
        <v>Fisher</v>
      </c>
      <c r="T4" s="18" t="str">
        <f>MAINTENANCE!U3</f>
        <v>unscheduled</v>
      </c>
      <c r="U4" s="18" t="str">
        <f>MAINTENANCE!V3</f>
        <v>unscheduled</v>
      </c>
      <c r="V4" s="18" t="str">
        <f>MAINTENANCE!W3</f>
        <v>Brohi</v>
      </c>
      <c r="W4" s="18" t="str">
        <f>MAINTENANCE!X3</f>
        <v>unscheduled</v>
      </c>
      <c r="X4" s="18" t="str">
        <f>MAINTENANCE!Y3</f>
        <v>unscheduled</v>
      </c>
      <c r="Y4" s="18" t="str">
        <f>MAINTENANCE!Z3</f>
        <v>PB</v>
      </c>
      <c r="Z4" s="18" t="str">
        <f>MAINTENANCE!AA3</f>
        <v>unscheduled</v>
      </c>
      <c r="AA4" s="18" t="str">
        <f>MAINTENANCE!AB3</f>
        <v>unscheduled</v>
      </c>
      <c r="AB4" s="18" t="str">
        <f>MAINTENANCE!AC3</f>
        <v>PB</v>
      </c>
      <c r="AC4" s="18" t="str">
        <f>MAINTENANCE!AD3</f>
        <v>Atlass</v>
      </c>
      <c r="AD4" s="18" t="str">
        <f>MAINTENANCE!AE3</f>
        <v>Derbyshire</v>
      </c>
      <c r="AE4" s="18" t="str">
        <f>MAINTENANCE!AF3</f>
        <v>James</v>
      </c>
      <c r="AF4" s="18" t="str">
        <f>MAINTENANCE!AG3</f>
        <v>Martin</v>
      </c>
      <c r="AG4" s="18" t="str">
        <f>MAINTENANCE!AH3</f>
        <v>unscheduled</v>
      </c>
      <c r="AH4" s="18" t="str">
        <f>MAINTENANCE!AI3</f>
        <v>(DA/HA)</v>
      </c>
      <c r="AI4" s="18" t="str">
        <f>MAINTENANCE!AJ3</f>
        <v>Brough</v>
      </c>
      <c r="AJ4" s="18" t="str">
        <f>MAINTENANCE!AK3</f>
        <v>unscheduled</v>
      </c>
      <c r="AK4" s="18" t="str">
        <f>MAINTENANCE!AL3</f>
        <v>unscheduled</v>
      </c>
      <c r="AL4" s="18" t="str">
        <f>MAINTENANCE!AM3</f>
        <v>Derbyshire</v>
      </c>
      <c r="AM4" s="18" t="str">
        <f>MAINTENANCE!AN3</f>
        <v>Fisher</v>
      </c>
      <c r="AN4" s="18" t="str">
        <f>MAINTENANCE!AO3</f>
        <v>Martin</v>
      </c>
      <c r="AO4" s="18" t="str">
        <f>MAINTENANCE!AP3</f>
        <v>unscheduled</v>
      </c>
      <c r="AP4" s="18" t="str">
        <f>MAINTENANCE!AQ3</f>
        <v>unscheduled</v>
      </c>
      <c r="AQ4" s="18" t="str">
        <f>MAINTENANCE!AR3</f>
        <v>unscheduled</v>
      </c>
      <c r="AR4" s="18" t="str">
        <f>MAINTENANCE!AS3</f>
        <v>unscheduled</v>
      </c>
      <c r="AS4" s="18" t="str">
        <f>MAINTENANCE!AT3</f>
        <v>James</v>
      </c>
      <c r="AT4" s="18" t="str">
        <f>MAINTENANCE!AU3</f>
        <v>unscheduled</v>
      </c>
      <c r="AU4" s="18" t="str">
        <f>MAINTENANCE!AV3</f>
        <v>unscheduled</v>
      </c>
      <c r="AV4" s="18" t="str">
        <f>MAINTENANCE!AW3</f>
        <v>James</v>
      </c>
      <c r="AW4" s="18" t="str">
        <f>MAINTENANCE!AX3</f>
        <v>(DA/HA)</v>
      </c>
      <c r="AX4" s="18" t="str">
        <f>MAINTENANCE!AY3</f>
        <v>Brough</v>
      </c>
      <c r="AY4" s="18" t="str">
        <f>MAINTENANCE!AZ3</f>
        <v>unscheduled</v>
      </c>
      <c r="AZ4" s="18" t="str">
        <f>MAINTENANCE!BA3</f>
        <v>unscheduled</v>
      </c>
      <c r="BA4" s="18" t="str">
        <f>MAINTENANCE!BB3</f>
        <v>unscheduled</v>
      </c>
      <c r="BB4" s="18" t="str">
        <f>MAINTENANCE!BC3</f>
        <v>unscheduled</v>
      </c>
      <c r="BC4" s="18" t="str">
        <f>MAINTENANCE!BD3</f>
        <v>Xmas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/>
      <c r="BO4" s="18">
        <f>MAINTENANCE!BO3</f>
        <v>0</v>
      </c>
      <c r="BP4" s="18">
        <f>MAINTENANCE!BP3</f>
        <v>0</v>
      </c>
      <c r="BQ4" s="18">
        <f>MAINTENANCE!BQ3</f>
        <v>0</v>
      </c>
      <c r="BR4" s="65">
        <f>MAINTENANCE!BP3</f>
        <v>0</v>
      </c>
      <c r="BS4" s="15"/>
      <c r="BT4" s="14"/>
    </row>
    <row r="5" spans="1:72" s="58" customFormat="1">
      <c r="A5" s="227"/>
      <c r="B5" s="228">
        <f>MAINTENANCE!C4</f>
        <v>44226</v>
      </c>
      <c r="C5" s="229">
        <f>MAINTENANCE!D4</f>
        <v>44491</v>
      </c>
      <c r="D5" s="228">
        <f>MAINTENANCE!E4</f>
        <v>44504</v>
      </c>
      <c r="E5" s="228">
        <f>MAINTENANCE!F4</f>
        <v>44221</v>
      </c>
      <c r="F5" s="228">
        <f>MAINTENANCE!G4</f>
        <v>44228</v>
      </c>
      <c r="G5" s="228">
        <f>MAINTENANCE!H4</f>
        <v>44243</v>
      </c>
      <c r="H5" s="228">
        <f>MAINTENANCE!I4</f>
        <v>44260</v>
      </c>
      <c r="I5" s="228">
        <f>MAINTENANCE!J4</f>
        <v>44280</v>
      </c>
      <c r="J5" s="228">
        <f>MAINTENANCE!K4</f>
        <v>44292</v>
      </c>
      <c r="K5" s="228">
        <f>MAINTENANCE!L4</f>
        <v>44290</v>
      </c>
      <c r="L5" s="228">
        <f>MAINTENANCE!M4</f>
        <v>44293</v>
      </c>
      <c r="M5" s="228">
        <f>MAINTENANCE!N4</f>
        <v>44259</v>
      </c>
      <c r="N5" s="228">
        <f>MAINTENANCE!O4</f>
        <v>44764</v>
      </c>
      <c r="O5" s="228">
        <f>MAINTENANCE!P4</f>
        <v>44425</v>
      </c>
      <c r="P5" s="228">
        <f>MAINTENANCE!Q4</f>
        <v>44497</v>
      </c>
      <c r="Q5" s="228">
        <f>MAINTENANCE!R4</f>
        <v>44512</v>
      </c>
      <c r="R5" s="228">
        <f>MAINTENANCE!S4</f>
        <v>44550</v>
      </c>
      <c r="S5" s="228">
        <f>MAINTENANCE!T4</f>
        <v>44572</v>
      </c>
      <c r="T5" s="228">
        <f>MAINTENANCE!U4</f>
        <v>44287</v>
      </c>
      <c r="U5" s="228">
        <f>MAINTENANCE!V4</f>
        <v>44294</v>
      </c>
      <c r="V5" s="228">
        <f>MAINTENANCE!W4</f>
        <v>44301</v>
      </c>
      <c r="W5" s="228">
        <f>MAINTENANCE!X4</f>
        <v>44308</v>
      </c>
      <c r="X5" s="228">
        <f>MAINTENANCE!Y4</f>
        <v>44315</v>
      </c>
      <c r="Y5" s="228">
        <f>MAINTENANCE!Z4</f>
        <v>44322</v>
      </c>
      <c r="Z5" s="228">
        <f>MAINTENANCE!AA4</f>
        <v>44329</v>
      </c>
      <c r="AA5" s="228">
        <f>MAINTENANCE!AB4</f>
        <v>44336</v>
      </c>
      <c r="AB5" s="228">
        <f>MAINTENANCE!AC4</f>
        <v>44343</v>
      </c>
      <c r="AC5" s="228">
        <f>MAINTENANCE!AD4</f>
        <v>44350</v>
      </c>
      <c r="AD5" s="228">
        <f>MAINTENANCE!AE4</f>
        <v>44357</v>
      </c>
      <c r="AE5" s="228">
        <f>MAINTENANCE!AF4</f>
        <v>44364</v>
      </c>
      <c r="AF5" s="228">
        <f>MAINTENANCE!AG4</f>
        <v>44371</v>
      </c>
      <c r="AG5" s="228">
        <f>MAINTENANCE!AH4</f>
        <v>44378</v>
      </c>
      <c r="AH5" s="228">
        <f>MAINTENANCE!AI4</f>
        <v>44385</v>
      </c>
      <c r="AI5" s="228">
        <f>MAINTENANCE!AJ4</f>
        <v>44392</v>
      </c>
      <c r="AJ5" s="228">
        <f>MAINTENANCE!AK4</f>
        <v>44399</v>
      </c>
      <c r="AK5" s="228">
        <f>MAINTENANCE!AL4</f>
        <v>44406</v>
      </c>
      <c r="AL5" s="228">
        <f>MAINTENANCE!AM4</f>
        <v>44413</v>
      </c>
      <c r="AM5" s="228">
        <f>MAINTENANCE!AN4</f>
        <v>44420</v>
      </c>
      <c r="AN5" s="228">
        <f>MAINTENANCE!AO4</f>
        <v>44427</v>
      </c>
      <c r="AO5" s="228">
        <f>MAINTENANCE!AP4</f>
        <v>44434</v>
      </c>
      <c r="AP5" s="228">
        <f>MAINTENANCE!AQ4</f>
        <v>44441</v>
      </c>
      <c r="AQ5" s="228">
        <f>MAINTENANCE!AR4</f>
        <v>44448</v>
      </c>
      <c r="AR5" s="228">
        <f>MAINTENANCE!AS4</f>
        <v>44455</v>
      </c>
      <c r="AS5" s="228">
        <f>MAINTENANCE!AT4</f>
        <v>44462</v>
      </c>
      <c r="AT5" s="228">
        <f>MAINTENANCE!AU4</f>
        <v>44469</v>
      </c>
      <c r="AU5" s="228">
        <f>MAINTENANCE!AV4</f>
        <v>44476</v>
      </c>
      <c r="AV5" s="228">
        <f>MAINTENANCE!AW4</f>
        <v>44483</v>
      </c>
      <c r="AW5" s="228">
        <f>MAINTENANCE!AX4</f>
        <v>44490</v>
      </c>
      <c r="AX5" s="228">
        <f>MAINTENANCE!AY4</f>
        <v>44497</v>
      </c>
      <c r="AY5" s="228">
        <f>MAINTENANCE!AZ4</f>
        <v>44504</v>
      </c>
      <c r="AZ5" s="228">
        <f>MAINTENANCE!BA4</f>
        <v>44511</v>
      </c>
      <c r="BA5" s="228">
        <f>MAINTENANCE!BB4</f>
        <v>44518</v>
      </c>
      <c r="BB5" s="228">
        <f>MAINTENANCE!BC4</f>
        <v>44525</v>
      </c>
      <c r="BC5" s="228">
        <f>MAINTENANCE!BD4</f>
        <v>44553</v>
      </c>
      <c r="BD5" s="228">
        <f>MAINTENANCE!BE4</f>
        <v>44560</v>
      </c>
      <c r="BE5" s="228">
        <f>MAINTENANCE!BF4</f>
        <v>44567</v>
      </c>
      <c r="BF5" s="228">
        <f>MAINTENANCE!BG4</f>
        <v>44574</v>
      </c>
      <c r="BG5" s="228">
        <f>MAINTENANCE!BH4</f>
        <v>44581</v>
      </c>
      <c r="BH5" s="228">
        <f>MAINTENANCE!BI4</f>
        <v>0</v>
      </c>
      <c r="BI5" s="228">
        <f>MAINTENANCE!BJ4</f>
        <v>0</v>
      </c>
      <c r="BJ5" s="228">
        <f>MAINTENANCE!BK4</f>
        <v>0</v>
      </c>
      <c r="BK5" s="228">
        <f>MAINTENANCE!BL4</f>
        <v>0</v>
      </c>
      <c r="BL5" s="228">
        <f>MAINTENANCE!BM4</f>
        <v>0</v>
      </c>
      <c r="BM5" s="228">
        <f>MAINTENANCE!BN4</f>
        <v>0</v>
      </c>
      <c r="BN5" s="228" t="e">
        <f>MAINTENANCE!#REF!</f>
        <v>#REF!</v>
      </c>
      <c r="BO5" s="228">
        <f>MAINTENANCE!BO4</f>
        <v>0</v>
      </c>
      <c r="BP5" s="228">
        <f>MAINTENANCE!BP4</f>
        <v>0</v>
      </c>
      <c r="BQ5" s="228">
        <f>MAINTENANCE!BQ4</f>
        <v>0</v>
      </c>
      <c r="BR5" s="230">
        <f>MAINTENANCE!BP4</f>
        <v>0</v>
      </c>
      <c r="BS5" s="180"/>
      <c r="BT5" s="243"/>
    </row>
    <row r="6" spans="1:72" s="479" customFormat="1">
      <c r="A6" s="537" t="s">
        <v>240</v>
      </c>
      <c r="B6" s="371"/>
      <c r="C6" s="373"/>
      <c r="D6" s="371"/>
      <c r="E6" s="371"/>
      <c r="F6" s="371"/>
      <c r="G6" s="371"/>
      <c r="H6" s="371"/>
      <c r="I6" s="371"/>
      <c r="J6" s="371"/>
      <c r="K6" s="373">
        <v>25.99</v>
      </c>
      <c r="L6" s="371"/>
      <c r="M6" s="371"/>
      <c r="N6" s="371"/>
      <c r="O6" s="371"/>
      <c r="P6" s="371"/>
      <c r="Q6" s="371"/>
      <c r="R6" s="371"/>
      <c r="S6" s="373"/>
      <c r="T6" s="373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3"/>
      <c r="AO6" s="373"/>
      <c r="AP6" s="372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3"/>
      <c r="BB6" s="371"/>
      <c r="BC6" s="371"/>
      <c r="BD6" s="371"/>
      <c r="BE6" s="371"/>
      <c r="BF6" s="371"/>
      <c r="BG6" s="371"/>
      <c r="BH6" s="373"/>
      <c r="BI6" s="475"/>
      <c r="BJ6" s="475"/>
      <c r="BK6" s="475"/>
      <c r="BL6" s="475"/>
      <c r="BM6" s="475"/>
      <c r="BN6" s="475"/>
      <c r="BO6" s="475"/>
      <c r="BP6" s="475"/>
      <c r="BQ6" s="475"/>
      <c r="BR6" s="476"/>
      <c r="BS6" s="477"/>
      <c r="BT6" s="478">
        <f>SUM(B6:BR6)</f>
        <v>25.99</v>
      </c>
    </row>
    <row r="7" spans="1:72" s="479" customFormat="1">
      <c r="A7" s="825" t="s">
        <v>247</v>
      </c>
      <c r="B7" s="624"/>
      <c r="C7" s="625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>
        <v>10</v>
      </c>
      <c r="O7" s="624"/>
      <c r="P7" s="624"/>
      <c r="Q7" s="624"/>
      <c r="R7" s="624"/>
      <c r="S7" s="625"/>
      <c r="T7" s="625"/>
      <c r="U7" s="624"/>
      <c r="V7" s="624"/>
      <c r="W7" s="624"/>
      <c r="X7" s="624"/>
      <c r="Y7" s="624"/>
      <c r="Z7" s="624"/>
      <c r="AA7" s="624"/>
      <c r="AB7" s="624"/>
      <c r="AC7" s="624"/>
      <c r="AD7" s="624"/>
      <c r="AE7" s="624"/>
      <c r="AF7" s="624"/>
      <c r="AG7" s="624"/>
      <c r="AH7" s="624"/>
      <c r="AI7" s="624"/>
      <c r="AJ7" s="624"/>
      <c r="AK7" s="624"/>
      <c r="AL7" s="624"/>
      <c r="AM7" s="624"/>
      <c r="AN7" s="625"/>
      <c r="AO7" s="625"/>
      <c r="AP7" s="626"/>
      <c r="AQ7" s="624"/>
      <c r="AR7" s="624"/>
      <c r="AS7" s="624"/>
      <c r="AT7" s="371"/>
      <c r="AU7" s="371"/>
      <c r="AV7" s="371"/>
      <c r="AW7" s="371"/>
      <c r="AX7" s="371"/>
      <c r="AY7" s="371"/>
      <c r="AZ7" s="371"/>
      <c r="BA7" s="373"/>
      <c r="BB7" s="371"/>
      <c r="BC7" s="371"/>
      <c r="BD7" s="371"/>
      <c r="BE7" s="371"/>
      <c r="BF7" s="371"/>
      <c r="BG7" s="371"/>
      <c r="BH7" s="373"/>
      <c r="BI7" s="475"/>
      <c r="BJ7" s="475"/>
      <c r="BK7" s="475"/>
      <c r="BL7" s="475"/>
      <c r="BM7" s="475"/>
      <c r="BN7" s="475"/>
      <c r="BO7" s="475"/>
      <c r="BP7" s="475"/>
      <c r="BQ7" s="475"/>
      <c r="BR7" s="476"/>
      <c r="BS7" s="477"/>
      <c r="BT7" s="478">
        <f t="shared" ref="BT7:BT10" si="0">SUM(B7:BR7)</f>
        <v>10</v>
      </c>
    </row>
    <row r="8" spans="1:72" s="479" customFormat="1">
      <c r="A8" s="825" t="s">
        <v>248</v>
      </c>
      <c r="B8" s="624"/>
      <c r="C8" s="625"/>
      <c r="D8" s="624"/>
      <c r="E8" s="624"/>
      <c r="F8" s="624"/>
      <c r="G8" s="624"/>
      <c r="H8" s="624"/>
      <c r="I8" s="624"/>
      <c r="J8" s="624"/>
      <c r="K8" s="371"/>
      <c r="L8" s="371"/>
      <c r="M8" s="371"/>
      <c r="N8" s="371">
        <v>18</v>
      </c>
      <c r="O8" s="371"/>
      <c r="P8" s="371"/>
      <c r="Q8" s="371"/>
      <c r="R8" s="371"/>
      <c r="S8" s="373"/>
      <c r="T8" s="373"/>
      <c r="U8" s="374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3"/>
      <c r="AO8" s="373"/>
      <c r="AP8" s="372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3"/>
      <c r="BI8" s="475"/>
      <c r="BJ8" s="475"/>
      <c r="BK8" s="475"/>
      <c r="BL8" s="475"/>
      <c r="BM8" s="475"/>
      <c r="BN8" s="475"/>
      <c r="BO8" s="475"/>
      <c r="BP8" s="475"/>
      <c r="BQ8" s="475"/>
      <c r="BR8" s="476"/>
      <c r="BS8" s="477"/>
      <c r="BT8" s="478">
        <f t="shared" si="0"/>
        <v>18</v>
      </c>
    </row>
    <row r="9" spans="1:72" s="479" customFormat="1">
      <c r="A9" s="825" t="s">
        <v>257</v>
      </c>
      <c r="B9" s="624"/>
      <c r="C9" s="625"/>
      <c r="D9" s="624"/>
      <c r="E9" s="624"/>
      <c r="F9" s="624"/>
      <c r="G9" s="624"/>
      <c r="H9" s="624"/>
      <c r="I9" s="624"/>
      <c r="J9" s="624"/>
      <c r="K9" s="371"/>
      <c r="L9" s="371"/>
      <c r="M9" s="371"/>
      <c r="N9" s="371"/>
      <c r="O9" s="371"/>
      <c r="P9" s="371"/>
      <c r="Q9" s="371"/>
      <c r="R9" s="371">
        <v>1.2</v>
      </c>
      <c r="S9" s="373"/>
      <c r="T9" s="373"/>
      <c r="U9" s="374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3"/>
      <c r="AO9" s="373"/>
      <c r="AP9" s="372"/>
      <c r="AQ9" s="371"/>
      <c r="AR9" s="371"/>
      <c r="AS9" s="371"/>
      <c r="AT9" s="371"/>
      <c r="AU9" s="371"/>
      <c r="AV9" s="371"/>
      <c r="AW9" s="371"/>
      <c r="AX9" s="371"/>
      <c r="AY9" s="371"/>
      <c r="AZ9" s="371"/>
      <c r="BA9" s="371"/>
      <c r="BB9" s="371"/>
      <c r="BC9" s="371"/>
      <c r="BD9" s="371"/>
      <c r="BE9" s="371"/>
      <c r="BF9" s="371"/>
      <c r="BG9" s="371"/>
      <c r="BH9" s="373"/>
      <c r="BI9" s="475"/>
      <c r="BJ9" s="475"/>
      <c r="BK9" s="475"/>
      <c r="BL9" s="475"/>
      <c r="BM9" s="475"/>
      <c r="BN9" s="475"/>
      <c r="BO9" s="475"/>
      <c r="BP9" s="475"/>
      <c r="BQ9" s="475"/>
      <c r="BR9" s="476"/>
      <c r="BS9" s="477"/>
      <c r="BT9" s="478">
        <f t="shared" si="0"/>
        <v>1.2</v>
      </c>
    </row>
    <row r="10" spans="1:72" s="479" customFormat="1">
      <c r="A10" s="825" t="s">
        <v>257</v>
      </c>
      <c r="B10" s="624"/>
      <c r="C10" s="625"/>
      <c r="D10" s="624"/>
      <c r="E10" s="624"/>
      <c r="F10" s="624"/>
      <c r="G10" s="624"/>
      <c r="H10" s="624"/>
      <c r="I10" s="624"/>
      <c r="J10" s="624"/>
      <c r="K10" s="371"/>
      <c r="L10" s="371"/>
      <c r="M10" s="371"/>
      <c r="N10" s="371"/>
      <c r="O10" s="371"/>
      <c r="P10" s="371"/>
      <c r="Q10" s="371"/>
      <c r="R10" s="371">
        <v>3.24</v>
      </c>
      <c r="S10" s="373"/>
      <c r="T10" s="373"/>
      <c r="U10" s="374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3"/>
      <c r="AO10" s="373"/>
      <c r="AP10" s="372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3"/>
      <c r="BI10" s="475"/>
      <c r="BJ10" s="475"/>
      <c r="BK10" s="475"/>
      <c r="BL10" s="475"/>
      <c r="BM10" s="475"/>
      <c r="BN10" s="475"/>
      <c r="BO10" s="475"/>
      <c r="BP10" s="475"/>
      <c r="BQ10" s="475"/>
      <c r="BR10" s="476"/>
      <c r="BS10" s="477"/>
      <c r="BT10" s="478">
        <f t="shared" si="0"/>
        <v>3.24</v>
      </c>
    </row>
    <row r="11" spans="1:72">
      <c r="A11" s="825" t="s">
        <v>256</v>
      </c>
      <c r="B11" s="624"/>
      <c r="C11" s="625"/>
      <c r="D11" s="624"/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>
        <v>44.9</v>
      </c>
      <c r="R11" s="624"/>
      <c r="S11" s="625"/>
      <c r="T11" s="625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624"/>
      <c r="AH11" s="624"/>
      <c r="AI11" s="624"/>
      <c r="AJ11" s="624"/>
      <c r="AK11" s="624"/>
      <c r="AL11" s="624"/>
      <c r="AM11" s="624"/>
      <c r="AN11" s="625"/>
      <c r="AO11" s="625"/>
      <c r="AP11" s="626"/>
      <c r="AQ11" s="624"/>
      <c r="AR11" s="624"/>
      <c r="AS11" s="624"/>
      <c r="AT11" s="371"/>
      <c r="AU11" s="371"/>
      <c r="AV11" s="371"/>
      <c r="AW11" s="371"/>
      <c r="AX11" s="371"/>
      <c r="AY11" s="371"/>
      <c r="AZ11" s="371"/>
      <c r="BA11" s="373"/>
      <c r="BB11" s="371"/>
      <c r="BC11" s="371"/>
      <c r="BD11" s="371"/>
      <c r="BE11" s="371"/>
      <c r="BF11" s="371"/>
      <c r="BG11" s="371"/>
      <c r="BH11" s="373"/>
      <c r="BI11" s="56"/>
      <c r="BJ11" s="56"/>
      <c r="BK11" s="56"/>
      <c r="BL11" s="56"/>
      <c r="BM11" s="56"/>
      <c r="BN11" s="56"/>
      <c r="BO11" s="56"/>
      <c r="BP11" s="56"/>
      <c r="BQ11" s="56"/>
      <c r="BR11" s="62"/>
      <c r="BS11" s="49"/>
      <c r="BT11" s="69">
        <f t="shared" ref="BT11:BT12" si="1">SUM(C11:BR11)</f>
        <v>44.9</v>
      </c>
    </row>
    <row r="12" spans="1:72">
      <c r="A12" s="825" t="s">
        <v>265</v>
      </c>
      <c r="B12" s="624"/>
      <c r="C12" s="625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4"/>
      <c r="O12" s="624"/>
      <c r="P12" s="624"/>
      <c r="Q12" s="624">
        <v>1.98</v>
      </c>
      <c r="R12" s="624"/>
      <c r="S12" s="625"/>
      <c r="T12" s="625"/>
      <c r="U12" s="624"/>
      <c r="V12" s="624"/>
      <c r="W12" s="624"/>
      <c r="X12" s="624"/>
      <c r="Y12" s="624"/>
      <c r="Z12" s="624"/>
      <c r="AA12" s="624"/>
      <c r="AB12" s="624"/>
      <c r="AC12" s="624"/>
      <c r="AD12" s="624"/>
      <c r="AE12" s="624"/>
      <c r="AF12" s="624"/>
      <c r="AG12" s="624"/>
      <c r="AH12" s="624"/>
      <c r="AI12" s="624"/>
      <c r="AJ12" s="624"/>
      <c r="AK12" s="624"/>
      <c r="AL12" s="624"/>
      <c r="AM12" s="624"/>
      <c r="AN12" s="625"/>
      <c r="AO12" s="625"/>
      <c r="AP12" s="626"/>
      <c r="AQ12" s="624"/>
      <c r="AR12" s="624"/>
      <c r="AS12" s="624"/>
      <c r="AT12" s="371"/>
      <c r="AU12" s="371"/>
      <c r="AV12" s="371"/>
      <c r="AW12" s="371"/>
      <c r="AX12" s="371"/>
      <c r="AY12" s="371"/>
      <c r="AZ12" s="371"/>
      <c r="BA12" s="373"/>
      <c r="BB12" s="371"/>
      <c r="BC12" s="371"/>
      <c r="BD12" s="371"/>
      <c r="BE12" s="371"/>
      <c r="BF12" s="371"/>
      <c r="BG12" s="371"/>
      <c r="BH12" s="373"/>
      <c r="BI12" s="56"/>
      <c r="BJ12" s="56"/>
      <c r="BK12" s="56"/>
      <c r="BL12" s="56"/>
      <c r="BM12" s="56"/>
      <c r="BN12" s="56"/>
      <c r="BO12" s="56"/>
      <c r="BP12" s="56"/>
      <c r="BQ12" s="56"/>
      <c r="BR12" s="62"/>
      <c r="BS12" s="49"/>
      <c r="BT12" s="69">
        <f t="shared" si="1"/>
        <v>1.98</v>
      </c>
    </row>
    <row r="13" spans="1:72" s="479" customFormat="1">
      <c r="A13" s="537"/>
      <c r="B13" s="371"/>
      <c r="C13" s="373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3"/>
      <c r="T13" s="373"/>
      <c r="U13" s="374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3"/>
      <c r="AO13" s="373"/>
      <c r="AP13" s="372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3"/>
      <c r="BI13" s="475"/>
      <c r="BJ13" s="475"/>
      <c r="BK13" s="475"/>
      <c r="BL13" s="475"/>
      <c r="BM13" s="475"/>
      <c r="BN13" s="475"/>
      <c r="BO13" s="475"/>
      <c r="BP13" s="475"/>
      <c r="BQ13" s="475"/>
      <c r="BR13" s="476"/>
      <c r="BS13" s="477"/>
      <c r="BT13" s="478">
        <f t="shared" ref="BT13" si="2">SUM(B13:BR13)</f>
        <v>0</v>
      </c>
    </row>
    <row r="14" spans="1:72" s="479" customFormat="1" ht="7.5" thickBot="1">
      <c r="A14" s="825"/>
      <c r="B14" s="624"/>
      <c r="C14" s="625"/>
      <c r="D14" s="624"/>
      <c r="E14" s="624"/>
      <c r="F14" s="624"/>
      <c r="G14" s="624"/>
      <c r="H14" s="624"/>
      <c r="I14" s="624"/>
      <c r="J14" s="624"/>
      <c r="K14" s="371"/>
      <c r="L14" s="371"/>
      <c r="M14" s="371"/>
      <c r="N14" s="371"/>
      <c r="O14" s="371"/>
      <c r="P14" s="371"/>
      <c r="Q14" s="371"/>
      <c r="R14" s="371"/>
      <c r="S14" s="373"/>
      <c r="T14" s="373"/>
      <c r="U14" s="374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3"/>
      <c r="AO14" s="373"/>
      <c r="AP14" s="372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3"/>
      <c r="BI14" s="475"/>
      <c r="BJ14" s="475"/>
      <c r="BK14" s="475"/>
      <c r="BL14" s="475"/>
      <c r="BM14" s="475"/>
      <c r="BN14" s="475"/>
      <c r="BO14" s="475"/>
      <c r="BP14" s="475"/>
      <c r="BQ14" s="475"/>
      <c r="BR14" s="476"/>
      <c r="BS14" s="477"/>
      <c r="BT14" s="478">
        <f t="shared" ref="BT14:BT16" si="3">SUM(B14:BR14)</f>
        <v>0</v>
      </c>
    </row>
    <row r="15" spans="1:72" hidden="1">
      <c r="A15" s="537"/>
      <c r="B15" s="371"/>
      <c r="C15" s="373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3"/>
      <c r="T15" s="373"/>
      <c r="U15" s="374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3"/>
      <c r="AO15" s="373"/>
      <c r="AP15" s="372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371"/>
      <c r="BF15" s="371"/>
      <c r="BG15" s="371"/>
      <c r="BH15" s="373"/>
      <c r="BI15" s="56"/>
      <c r="BJ15" s="56"/>
      <c r="BK15" s="56"/>
      <c r="BL15" s="56"/>
      <c r="BM15" s="56"/>
      <c r="BN15" s="56"/>
      <c r="BO15" s="56"/>
      <c r="BP15" s="56"/>
      <c r="BQ15" s="56"/>
      <c r="BR15" s="62"/>
      <c r="BS15" s="49"/>
      <c r="BT15" s="478">
        <f t="shared" si="3"/>
        <v>0</v>
      </c>
    </row>
    <row r="16" spans="1:72" s="479" customFormat="1" hidden="1">
      <c r="A16" s="537"/>
      <c r="B16" s="371"/>
      <c r="C16" s="373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3"/>
      <c r="T16" s="373"/>
      <c r="U16" s="374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3"/>
      <c r="AO16" s="373"/>
      <c r="AP16" s="372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3"/>
      <c r="BI16" s="475"/>
      <c r="BJ16" s="475"/>
      <c r="BK16" s="475"/>
      <c r="BL16" s="475"/>
      <c r="BM16" s="475"/>
      <c r="BN16" s="475"/>
      <c r="BO16" s="475"/>
      <c r="BP16" s="475"/>
      <c r="BQ16" s="475"/>
      <c r="BR16" s="476"/>
      <c r="BS16" s="477"/>
      <c r="BT16" s="478">
        <f t="shared" si="3"/>
        <v>0</v>
      </c>
    </row>
    <row r="17" spans="1:72" hidden="1">
      <c r="A17" s="537"/>
      <c r="B17" s="371"/>
      <c r="C17" s="373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3"/>
      <c r="T17" s="373"/>
      <c r="U17" s="374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3"/>
      <c r="AO17" s="373"/>
      <c r="AP17" s="372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3"/>
      <c r="BI17" s="56"/>
      <c r="BJ17" s="56"/>
      <c r="BK17" s="56"/>
      <c r="BL17" s="56"/>
      <c r="BM17" s="56"/>
      <c r="BN17" s="56"/>
      <c r="BO17" s="56"/>
      <c r="BP17" s="56"/>
      <c r="BQ17" s="56"/>
      <c r="BR17" s="62"/>
      <c r="BS17" s="49"/>
      <c r="BT17" s="478">
        <f t="shared" ref="BT17:BT23" si="4">SUM(B17:BR17)</f>
        <v>0</v>
      </c>
    </row>
    <row r="18" spans="1:72" s="479" customFormat="1" hidden="1">
      <c r="A18" s="537"/>
      <c r="B18" s="371"/>
      <c r="C18" s="373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3"/>
      <c r="T18" s="373"/>
      <c r="U18" s="374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3"/>
      <c r="AO18" s="373"/>
      <c r="AP18" s="372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3"/>
      <c r="BI18" s="475"/>
      <c r="BJ18" s="475"/>
      <c r="BK18" s="475"/>
      <c r="BL18" s="475"/>
      <c r="BM18" s="475"/>
      <c r="BN18" s="475"/>
      <c r="BO18" s="475"/>
      <c r="BP18" s="475"/>
      <c r="BQ18" s="475"/>
      <c r="BR18" s="476"/>
      <c r="BS18" s="477"/>
      <c r="BT18" s="478">
        <f t="shared" si="4"/>
        <v>0</v>
      </c>
    </row>
    <row r="19" spans="1:72" s="479" customFormat="1" hidden="1">
      <c r="A19" s="537"/>
      <c r="B19" s="371"/>
      <c r="C19" s="373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3"/>
      <c r="T19" s="373"/>
      <c r="U19" s="374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3"/>
      <c r="AO19" s="373"/>
      <c r="AP19" s="372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3"/>
      <c r="BI19" s="475"/>
      <c r="BJ19" s="475"/>
      <c r="BK19" s="475"/>
      <c r="BL19" s="475"/>
      <c r="BM19" s="475"/>
      <c r="BN19" s="475"/>
      <c r="BO19" s="475"/>
      <c r="BP19" s="475"/>
      <c r="BQ19" s="475"/>
      <c r="BR19" s="476"/>
      <c r="BS19" s="477"/>
      <c r="BT19" s="478">
        <f t="shared" si="4"/>
        <v>0</v>
      </c>
    </row>
    <row r="20" spans="1:72" s="479" customFormat="1" hidden="1">
      <c r="A20" s="537"/>
      <c r="B20" s="371"/>
      <c r="C20" s="373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3"/>
      <c r="T20" s="373"/>
      <c r="U20" s="374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3"/>
      <c r="AO20" s="373"/>
      <c r="AP20" s="372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3"/>
      <c r="BI20" s="475"/>
      <c r="BJ20" s="475"/>
      <c r="BK20" s="475"/>
      <c r="BL20" s="475"/>
      <c r="BM20" s="475"/>
      <c r="BN20" s="475"/>
      <c r="BO20" s="475"/>
      <c r="BP20" s="475"/>
      <c r="BQ20" s="475"/>
      <c r="BR20" s="476"/>
      <c r="BS20" s="477"/>
      <c r="BT20" s="478">
        <f t="shared" si="4"/>
        <v>0</v>
      </c>
    </row>
    <row r="21" spans="1:72" s="479" customFormat="1" hidden="1">
      <c r="A21" s="537"/>
      <c r="B21" s="371"/>
      <c r="C21" s="373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3"/>
      <c r="T21" s="373"/>
      <c r="U21" s="374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3"/>
      <c r="AO21" s="373"/>
      <c r="AP21" s="372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3"/>
      <c r="BI21" s="475"/>
      <c r="BJ21" s="475"/>
      <c r="BK21" s="475"/>
      <c r="BL21" s="475"/>
      <c r="BM21" s="475"/>
      <c r="BN21" s="475"/>
      <c r="BO21" s="475"/>
      <c r="BP21" s="475"/>
      <c r="BQ21" s="475"/>
      <c r="BR21" s="476"/>
      <c r="BS21" s="477"/>
      <c r="BT21" s="478">
        <f t="shared" si="4"/>
        <v>0</v>
      </c>
    </row>
    <row r="22" spans="1:72" s="479" customFormat="1" hidden="1">
      <c r="A22" s="537"/>
      <c r="B22" s="371"/>
      <c r="C22" s="373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3"/>
      <c r="T22" s="373"/>
      <c r="U22" s="374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3"/>
      <c r="AO22" s="373"/>
      <c r="AP22" s="372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3"/>
      <c r="BI22" s="475"/>
      <c r="BJ22" s="475"/>
      <c r="BK22" s="475"/>
      <c r="BL22" s="475"/>
      <c r="BM22" s="475"/>
      <c r="BN22" s="475"/>
      <c r="BO22" s="475"/>
      <c r="BP22" s="475"/>
      <c r="BQ22" s="475"/>
      <c r="BR22" s="476"/>
      <c r="BS22" s="477"/>
      <c r="BT22" s="478">
        <f t="shared" si="4"/>
        <v>0</v>
      </c>
    </row>
    <row r="23" spans="1:72" s="479" customFormat="1" hidden="1">
      <c r="A23" s="537"/>
      <c r="B23" s="371"/>
      <c r="C23" s="373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3"/>
      <c r="T23" s="373"/>
      <c r="U23" s="374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3"/>
      <c r="AO23" s="373"/>
      <c r="AP23" s="372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3"/>
      <c r="BI23" s="475"/>
      <c r="BJ23" s="475"/>
      <c r="BK23" s="475"/>
      <c r="BL23" s="475"/>
      <c r="BM23" s="475"/>
      <c r="BN23" s="475"/>
      <c r="BO23" s="475"/>
      <c r="BP23" s="475"/>
      <c r="BQ23" s="475"/>
      <c r="BR23" s="476"/>
      <c r="BS23" s="477"/>
      <c r="BT23" s="478">
        <f t="shared" si="4"/>
        <v>0</v>
      </c>
    </row>
    <row r="24" spans="1:72" s="479" customFormat="1" hidden="1">
      <c r="A24" s="537"/>
      <c r="B24" s="371"/>
      <c r="C24" s="373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3"/>
      <c r="T24" s="373"/>
      <c r="U24" s="374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3"/>
      <c r="AO24" s="373"/>
      <c r="AP24" s="372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3"/>
      <c r="BI24" s="475"/>
      <c r="BJ24" s="475"/>
      <c r="BK24" s="475"/>
      <c r="BL24" s="475"/>
      <c r="BM24" s="475"/>
      <c r="BN24" s="475"/>
      <c r="BO24" s="475"/>
      <c r="BP24" s="475"/>
      <c r="BQ24" s="475"/>
      <c r="BR24" s="476"/>
      <c r="BS24" s="477"/>
      <c r="BT24" s="478">
        <f>SUM(B24:BR24)</f>
        <v>0</v>
      </c>
    </row>
    <row r="25" spans="1:72" s="479" customFormat="1" hidden="1">
      <c r="A25" s="537"/>
      <c r="B25" s="371"/>
      <c r="C25" s="373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3"/>
      <c r="T25" s="373"/>
      <c r="U25" s="374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3"/>
      <c r="AO25" s="373"/>
      <c r="AP25" s="372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3"/>
      <c r="BI25" s="475"/>
      <c r="BJ25" s="475"/>
      <c r="BK25" s="475"/>
      <c r="BL25" s="475"/>
      <c r="BM25" s="475"/>
      <c r="BN25" s="475"/>
      <c r="BO25" s="475"/>
      <c r="BP25" s="475"/>
      <c r="BQ25" s="475"/>
      <c r="BR25" s="476"/>
      <c r="BS25" s="477"/>
      <c r="BT25" s="478">
        <f>SUM(B25:BR25)</f>
        <v>0</v>
      </c>
    </row>
    <row r="26" spans="1:72" s="479" customFormat="1" hidden="1">
      <c r="A26" s="537"/>
      <c r="B26" s="371"/>
      <c r="C26" s="373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3"/>
      <c r="T26" s="373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3"/>
      <c r="AO26" s="373"/>
      <c r="AP26" s="372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3"/>
      <c r="BI26" s="475"/>
      <c r="BJ26" s="475"/>
      <c r="BK26" s="475"/>
      <c r="BL26" s="475"/>
      <c r="BM26" s="475"/>
      <c r="BN26" s="475"/>
      <c r="BO26" s="475"/>
      <c r="BP26" s="475"/>
      <c r="BQ26" s="475"/>
      <c r="BR26" s="476"/>
      <c r="BS26" s="477"/>
      <c r="BT26" s="478">
        <f t="shared" ref="BT26:BT32" si="5">SUM(B26:BR26)</f>
        <v>0</v>
      </c>
    </row>
    <row r="27" spans="1:72" hidden="1">
      <c r="A27" s="537"/>
      <c r="B27" s="371"/>
      <c r="C27" s="373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3"/>
      <c r="T27" s="373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3"/>
      <c r="AO27" s="373"/>
      <c r="AP27" s="372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3"/>
      <c r="BB27" s="371"/>
      <c r="BC27" s="371"/>
      <c r="BD27" s="371"/>
      <c r="BE27" s="371"/>
      <c r="BF27" s="371"/>
      <c r="BG27" s="371"/>
      <c r="BH27" s="373"/>
      <c r="BI27" s="56"/>
      <c r="BJ27" s="56"/>
      <c r="BK27" s="56"/>
      <c r="BL27" s="56"/>
      <c r="BM27" s="56"/>
      <c r="BN27" s="56"/>
      <c r="BO27" s="56"/>
      <c r="BP27" s="56"/>
      <c r="BQ27" s="56"/>
      <c r="BR27" s="62"/>
      <c r="BS27" s="49"/>
      <c r="BT27" s="69">
        <f>SUM(B27:BR27)</f>
        <v>0</v>
      </c>
    </row>
    <row r="28" spans="1:72" ht="7.5" hidden="1" thickBot="1">
      <c r="A28" s="537"/>
      <c r="B28" s="371"/>
      <c r="C28" s="373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3"/>
      <c r="T28" s="373"/>
      <c r="U28" s="374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3"/>
      <c r="AO28" s="373"/>
      <c r="AP28" s="372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3"/>
      <c r="BI28" s="56"/>
      <c r="BJ28" s="56"/>
      <c r="BK28" s="56"/>
      <c r="BL28" s="56"/>
      <c r="BM28" s="56"/>
      <c r="BN28" s="56"/>
      <c r="BO28" s="56"/>
      <c r="BP28" s="56"/>
      <c r="BQ28" s="56"/>
      <c r="BR28" s="62"/>
      <c r="BS28" s="49"/>
      <c r="BT28" s="69">
        <f>SUM(B28:BR28)</f>
        <v>0</v>
      </c>
    </row>
    <row r="29" spans="1:72" s="479" customFormat="1" hidden="1">
      <c r="A29" s="537"/>
      <c r="B29" s="371"/>
      <c r="C29" s="373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3"/>
      <c r="T29" s="373"/>
      <c r="U29" s="374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3"/>
      <c r="AO29" s="373"/>
      <c r="AP29" s="372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3"/>
      <c r="BI29" s="475"/>
      <c r="BJ29" s="475"/>
      <c r="BK29" s="475"/>
      <c r="BL29" s="475"/>
      <c r="BM29" s="475"/>
      <c r="BN29" s="475"/>
      <c r="BO29" s="475"/>
      <c r="BP29" s="475"/>
      <c r="BQ29" s="475"/>
      <c r="BR29" s="476"/>
      <c r="BS29" s="477"/>
      <c r="BT29" s="478">
        <f t="shared" si="5"/>
        <v>0</v>
      </c>
    </row>
    <row r="30" spans="1:72" s="479" customFormat="1" hidden="1">
      <c r="A30" s="375"/>
      <c r="B30" s="371"/>
      <c r="C30" s="373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3"/>
      <c r="T30" s="373"/>
      <c r="U30" s="374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3"/>
      <c r="AO30" s="373"/>
      <c r="AP30" s="372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3"/>
      <c r="BI30" s="475"/>
      <c r="BJ30" s="475"/>
      <c r="BK30" s="475"/>
      <c r="BL30" s="475"/>
      <c r="BM30" s="475"/>
      <c r="BN30" s="475"/>
      <c r="BO30" s="475"/>
      <c r="BP30" s="475"/>
      <c r="BQ30" s="475"/>
      <c r="BR30" s="476"/>
      <c r="BS30" s="477"/>
      <c r="BT30" s="478">
        <f t="shared" si="5"/>
        <v>0</v>
      </c>
    </row>
    <row r="31" spans="1:72" s="479" customFormat="1" hidden="1">
      <c r="A31" s="537"/>
      <c r="B31" s="371"/>
      <c r="C31" s="373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3"/>
      <c r="T31" s="373"/>
      <c r="U31" s="374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3"/>
      <c r="AO31" s="373"/>
      <c r="AP31" s="372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3"/>
      <c r="BI31" s="475"/>
      <c r="BJ31" s="475"/>
      <c r="BK31" s="475"/>
      <c r="BL31" s="475"/>
      <c r="BM31" s="475"/>
      <c r="BN31" s="475"/>
      <c r="BO31" s="475"/>
      <c r="BP31" s="475"/>
      <c r="BQ31" s="475"/>
      <c r="BR31" s="476"/>
      <c r="BS31" s="477"/>
      <c r="BT31" s="478">
        <f t="shared" si="5"/>
        <v>0</v>
      </c>
    </row>
    <row r="32" spans="1:72" s="479" customFormat="1" hidden="1">
      <c r="A32" s="537"/>
      <c r="B32" s="371"/>
      <c r="C32" s="373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3"/>
      <c r="T32" s="373"/>
      <c r="U32" s="374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3"/>
      <c r="AO32" s="373"/>
      <c r="AP32" s="372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3"/>
      <c r="BI32" s="475"/>
      <c r="BJ32" s="475"/>
      <c r="BK32" s="475"/>
      <c r="BL32" s="475"/>
      <c r="BM32" s="475"/>
      <c r="BN32" s="475"/>
      <c r="BO32" s="475"/>
      <c r="BP32" s="475"/>
      <c r="BQ32" s="475"/>
      <c r="BR32" s="476"/>
      <c r="BS32" s="477"/>
      <c r="BT32" s="478">
        <f t="shared" si="5"/>
        <v>0</v>
      </c>
    </row>
    <row r="33" spans="1:72" s="479" customFormat="1" hidden="1">
      <c r="A33" s="377"/>
      <c r="B33" s="378"/>
      <c r="C33" s="380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80"/>
      <c r="T33" s="380"/>
      <c r="U33" s="410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8"/>
      <c r="AL33" s="378"/>
      <c r="AM33" s="378"/>
      <c r="AN33" s="380"/>
      <c r="AO33" s="380"/>
      <c r="AP33" s="379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80"/>
      <c r="BI33" s="475"/>
      <c r="BJ33" s="475"/>
      <c r="BK33" s="475"/>
      <c r="BL33" s="475"/>
      <c r="BM33" s="475"/>
      <c r="BN33" s="475"/>
      <c r="BO33" s="475"/>
      <c r="BP33" s="475"/>
      <c r="BQ33" s="475"/>
      <c r="BR33" s="476"/>
      <c r="BS33" s="477"/>
      <c r="BT33" s="478">
        <f>SUM(B33:BR33)</f>
        <v>0</v>
      </c>
    </row>
    <row r="34" spans="1:72" s="640" customFormat="1" hidden="1">
      <c r="A34" s="633"/>
      <c r="B34" s="634"/>
      <c r="C34" s="635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4"/>
      <c r="P34" s="634"/>
      <c r="Q34" s="634"/>
      <c r="R34" s="634"/>
      <c r="S34" s="635"/>
      <c r="T34" s="635"/>
      <c r="U34" s="420"/>
      <c r="V34" s="634"/>
      <c r="W34" s="634"/>
      <c r="X34" s="634"/>
      <c r="Y34" s="634"/>
      <c r="Z34" s="634"/>
      <c r="AA34" s="634"/>
      <c r="AB34" s="634"/>
      <c r="AC34" s="634"/>
      <c r="AD34" s="634"/>
      <c r="AE34" s="634"/>
      <c r="AF34" s="634"/>
      <c r="AG34" s="634"/>
      <c r="AH34" s="634"/>
      <c r="AI34" s="634"/>
      <c r="AJ34" s="634"/>
      <c r="AK34" s="634"/>
      <c r="AL34" s="634"/>
      <c r="AM34" s="634"/>
      <c r="AN34" s="635"/>
      <c r="AO34" s="635"/>
      <c r="AP34" s="636"/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7"/>
      <c r="BJ34" s="637"/>
      <c r="BK34" s="637"/>
      <c r="BL34" s="637"/>
      <c r="BM34" s="637"/>
      <c r="BN34" s="637"/>
      <c r="BO34" s="637"/>
      <c r="BP34" s="637"/>
      <c r="BQ34" s="637"/>
      <c r="BR34" s="638"/>
      <c r="BS34" s="639"/>
      <c r="BT34" s="478">
        <f t="shared" ref="BT34:BT40" si="6">SUM(B34:BR34)</f>
        <v>0</v>
      </c>
    </row>
    <row r="35" spans="1:72" s="479" customFormat="1" hidden="1">
      <c r="A35" s="537"/>
      <c r="B35" s="371"/>
      <c r="C35" s="373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3"/>
      <c r="T35" s="373"/>
      <c r="U35" s="374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3"/>
      <c r="AO35" s="373"/>
      <c r="AP35" s="372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3"/>
      <c r="BI35" s="475"/>
      <c r="BJ35" s="475"/>
      <c r="BK35" s="475"/>
      <c r="BL35" s="475"/>
      <c r="BM35" s="475"/>
      <c r="BN35" s="475"/>
      <c r="BO35" s="475"/>
      <c r="BP35" s="475"/>
      <c r="BQ35" s="475"/>
      <c r="BR35" s="476"/>
      <c r="BS35" s="477"/>
      <c r="BT35" s="478">
        <f t="shared" si="6"/>
        <v>0</v>
      </c>
    </row>
    <row r="36" spans="1:72" s="479" customFormat="1" hidden="1">
      <c r="A36" s="537"/>
      <c r="B36" s="371"/>
      <c r="C36" s="373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3"/>
      <c r="T36" s="373"/>
      <c r="U36" s="374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3"/>
      <c r="AO36" s="373"/>
      <c r="AP36" s="372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3"/>
      <c r="BI36" s="475"/>
      <c r="BJ36" s="475"/>
      <c r="BK36" s="475"/>
      <c r="BL36" s="475"/>
      <c r="BM36" s="475"/>
      <c r="BN36" s="475"/>
      <c r="BO36" s="475"/>
      <c r="BP36" s="475"/>
      <c r="BQ36" s="475"/>
      <c r="BR36" s="476"/>
      <c r="BS36" s="477"/>
      <c r="BT36" s="478">
        <f t="shared" si="6"/>
        <v>0</v>
      </c>
    </row>
    <row r="37" spans="1:72" s="479" customFormat="1" hidden="1">
      <c r="A37" s="537"/>
      <c r="B37" s="371"/>
      <c r="C37" s="373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3"/>
      <c r="T37" s="373"/>
      <c r="U37" s="374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3"/>
      <c r="AO37" s="373"/>
      <c r="AP37" s="372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3"/>
      <c r="BI37" s="475"/>
      <c r="BJ37" s="475"/>
      <c r="BK37" s="475"/>
      <c r="BL37" s="475"/>
      <c r="BM37" s="475"/>
      <c r="BN37" s="475"/>
      <c r="BO37" s="475"/>
      <c r="BP37" s="475"/>
      <c r="BQ37" s="475"/>
      <c r="BR37" s="476"/>
      <c r="BS37" s="477"/>
      <c r="BT37" s="478">
        <f t="shared" si="6"/>
        <v>0</v>
      </c>
    </row>
    <row r="38" spans="1:72" s="479" customFormat="1" hidden="1">
      <c r="A38" s="537"/>
      <c r="B38" s="371"/>
      <c r="C38" s="373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3"/>
      <c r="T38" s="373"/>
      <c r="U38" s="374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3"/>
      <c r="AO38" s="373"/>
      <c r="AP38" s="372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3"/>
      <c r="BI38" s="475"/>
      <c r="BJ38" s="475"/>
      <c r="BK38" s="475"/>
      <c r="BL38" s="475"/>
      <c r="BM38" s="475"/>
      <c r="BN38" s="475"/>
      <c r="BO38" s="475"/>
      <c r="BP38" s="475"/>
      <c r="BQ38" s="475"/>
      <c r="BR38" s="476"/>
      <c r="BS38" s="477"/>
      <c r="BT38" s="478">
        <f t="shared" si="6"/>
        <v>0</v>
      </c>
    </row>
    <row r="39" spans="1:72" s="479" customFormat="1" hidden="1">
      <c r="A39" s="537"/>
      <c r="B39" s="371"/>
      <c r="C39" s="373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3"/>
      <c r="T39" s="373"/>
      <c r="U39" s="374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3"/>
      <c r="AO39" s="373"/>
      <c r="AP39" s="372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3"/>
      <c r="BI39" s="475"/>
      <c r="BJ39" s="475"/>
      <c r="BK39" s="475"/>
      <c r="BL39" s="475"/>
      <c r="BM39" s="475"/>
      <c r="BN39" s="475"/>
      <c r="BO39" s="475"/>
      <c r="BP39" s="475"/>
      <c r="BQ39" s="475"/>
      <c r="BR39" s="476"/>
      <c r="BS39" s="477"/>
      <c r="BT39" s="478">
        <f t="shared" si="6"/>
        <v>0</v>
      </c>
    </row>
    <row r="40" spans="1:72" s="479" customFormat="1" ht="7.5" hidden="1" thickBot="1">
      <c r="A40" s="375"/>
      <c r="B40" s="371"/>
      <c r="C40" s="373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3"/>
      <c r="T40" s="373"/>
      <c r="U40" s="374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3"/>
      <c r="AO40" s="373"/>
      <c r="AP40" s="372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3"/>
      <c r="BI40" s="475"/>
      <c r="BJ40" s="475"/>
      <c r="BK40" s="475"/>
      <c r="BL40" s="475"/>
      <c r="BM40" s="475"/>
      <c r="BN40" s="475"/>
      <c r="BO40" s="475"/>
      <c r="BP40" s="475"/>
      <c r="BQ40" s="475"/>
      <c r="BR40" s="476"/>
      <c r="BS40" s="477"/>
      <c r="BT40" s="478">
        <f t="shared" si="6"/>
        <v>0</v>
      </c>
    </row>
    <row r="41" spans="1:72" ht="11.5" thickTop="1" thickBot="1">
      <c r="A41" s="127" t="s">
        <v>81</v>
      </c>
      <c r="B41" s="63">
        <f t="shared" ref="B41:J41" si="7">SUM(B6:B38)</f>
        <v>0</v>
      </c>
      <c r="C41" s="91">
        <f t="shared" si="7"/>
        <v>0</v>
      </c>
      <c r="D41" s="63">
        <f t="shared" si="7"/>
        <v>0</v>
      </c>
      <c r="E41" s="63">
        <f t="shared" si="7"/>
        <v>0</v>
      </c>
      <c r="F41" s="63">
        <f t="shared" si="7"/>
        <v>0</v>
      </c>
      <c r="G41" s="63">
        <f t="shared" si="7"/>
        <v>0</v>
      </c>
      <c r="H41" s="63">
        <f t="shared" si="7"/>
        <v>0</v>
      </c>
      <c r="I41" s="63">
        <f t="shared" si="7"/>
        <v>0</v>
      </c>
      <c r="J41" s="63">
        <f t="shared" si="7"/>
        <v>0</v>
      </c>
      <c r="K41" s="63">
        <f t="shared" ref="K41:W41" si="8">SUM(K6:K38)</f>
        <v>25.99</v>
      </c>
      <c r="L41" s="63">
        <f t="shared" si="8"/>
        <v>0</v>
      </c>
      <c r="M41" s="63">
        <f>SUM(M6:M38)</f>
        <v>0</v>
      </c>
      <c r="N41" s="63">
        <f>SUM(N6:N38)</f>
        <v>28</v>
      </c>
      <c r="O41" s="63">
        <f>SUM(O6:O38)</f>
        <v>0</v>
      </c>
      <c r="P41" s="63">
        <f t="shared" si="8"/>
        <v>0</v>
      </c>
      <c r="Q41" s="63">
        <f t="shared" si="8"/>
        <v>46.879999999999995</v>
      </c>
      <c r="R41" s="63">
        <f t="shared" si="8"/>
        <v>4.4400000000000004</v>
      </c>
      <c r="S41" s="91">
        <f t="shared" si="8"/>
        <v>0</v>
      </c>
      <c r="T41" s="91">
        <f t="shared" si="8"/>
        <v>0</v>
      </c>
      <c r="U41" s="258">
        <f t="shared" si="8"/>
        <v>0</v>
      </c>
      <c r="V41" s="63">
        <f t="shared" si="8"/>
        <v>0</v>
      </c>
      <c r="W41" s="63">
        <f t="shared" si="8"/>
        <v>0</v>
      </c>
      <c r="X41" s="63">
        <f t="shared" ref="X41:BR41" si="9">SUM(X6:X38)</f>
        <v>0</v>
      </c>
      <c r="Y41" s="63">
        <f t="shared" si="9"/>
        <v>0</v>
      </c>
      <c r="Z41" s="63">
        <f t="shared" si="9"/>
        <v>0</v>
      </c>
      <c r="AA41" s="63">
        <f t="shared" si="9"/>
        <v>0</v>
      </c>
      <c r="AB41" s="63">
        <f t="shared" si="9"/>
        <v>0</v>
      </c>
      <c r="AC41" s="63">
        <f t="shared" si="9"/>
        <v>0</v>
      </c>
      <c r="AD41" s="63">
        <f t="shared" si="9"/>
        <v>0</v>
      </c>
      <c r="AE41" s="63">
        <f t="shared" si="9"/>
        <v>0</v>
      </c>
      <c r="AF41" s="63">
        <f>SUM(AF6:AF40)</f>
        <v>0</v>
      </c>
      <c r="AG41" s="63">
        <f t="shared" si="9"/>
        <v>0</v>
      </c>
      <c r="AH41" s="63">
        <f t="shared" si="9"/>
        <v>0</v>
      </c>
      <c r="AI41" s="63">
        <f t="shared" si="9"/>
        <v>0</v>
      </c>
      <c r="AJ41" s="63">
        <f t="shared" si="9"/>
        <v>0</v>
      </c>
      <c r="AK41" s="63">
        <f t="shared" si="9"/>
        <v>0</v>
      </c>
      <c r="AL41" s="63">
        <f t="shared" si="9"/>
        <v>0</v>
      </c>
      <c r="AM41" s="63">
        <f t="shared" si="9"/>
        <v>0</v>
      </c>
      <c r="AN41" s="91">
        <f t="shared" si="9"/>
        <v>0</v>
      </c>
      <c r="AO41" s="91">
        <f>SUM(AO6:AO40)</f>
        <v>0</v>
      </c>
      <c r="AP41" s="125">
        <f t="shared" si="9"/>
        <v>0</v>
      </c>
      <c r="AQ41" s="63">
        <f t="shared" si="9"/>
        <v>0</v>
      </c>
      <c r="AR41" s="63">
        <f t="shared" si="9"/>
        <v>0</v>
      </c>
      <c r="AS41" s="63">
        <f t="shared" si="9"/>
        <v>0</v>
      </c>
      <c r="AT41" s="63">
        <f t="shared" si="9"/>
        <v>0</v>
      </c>
      <c r="AU41" s="63">
        <f t="shared" si="9"/>
        <v>0</v>
      </c>
      <c r="AV41" s="63">
        <f t="shared" si="9"/>
        <v>0</v>
      </c>
      <c r="AW41" s="63">
        <f t="shared" si="9"/>
        <v>0</v>
      </c>
      <c r="AX41" s="63">
        <f t="shared" si="9"/>
        <v>0</v>
      </c>
      <c r="AY41" s="63">
        <f t="shared" si="9"/>
        <v>0</v>
      </c>
      <c r="AZ41" s="63">
        <f t="shared" si="9"/>
        <v>0</v>
      </c>
      <c r="BA41" s="63">
        <f t="shared" si="9"/>
        <v>0</v>
      </c>
      <c r="BB41" s="63">
        <f t="shared" si="9"/>
        <v>0</v>
      </c>
      <c r="BC41" s="63">
        <f t="shared" si="9"/>
        <v>0</v>
      </c>
      <c r="BD41" s="63">
        <f>SUM(BD6:BD38)</f>
        <v>0</v>
      </c>
      <c r="BE41" s="63">
        <f>SUM(BE6:BE38)</f>
        <v>0</v>
      </c>
      <c r="BF41" s="63">
        <f t="shared" si="9"/>
        <v>0</v>
      </c>
      <c r="BG41" s="63">
        <f t="shared" si="9"/>
        <v>0</v>
      </c>
      <c r="BH41" s="63">
        <f t="shared" si="9"/>
        <v>0</v>
      </c>
      <c r="BI41" s="63">
        <f t="shared" si="9"/>
        <v>0</v>
      </c>
      <c r="BJ41" s="63">
        <f t="shared" si="9"/>
        <v>0</v>
      </c>
      <c r="BK41" s="63">
        <f t="shared" si="9"/>
        <v>0</v>
      </c>
      <c r="BL41" s="63">
        <f t="shared" si="9"/>
        <v>0</v>
      </c>
      <c r="BM41" s="63">
        <f t="shared" si="9"/>
        <v>0</v>
      </c>
      <c r="BN41" s="63">
        <f t="shared" si="9"/>
        <v>0</v>
      </c>
      <c r="BO41" s="63">
        <f t="shared" si="9"/>
        <v>0</v>
      </c>
      <c r="BP41" s="63">
        <f t="shared" si="9"/>
        <v>0</v>
      </c>
      <c r="BQ41" s="63">
        <f>SUM(BQ6:BQ38)</f>
        <v>0</v>
      </c>
      <c r="BR41" s="132">
        <f t="shared" si="9"/>
        <v>0</v>
      </c>
      <c r="BS41" s="49"/>
      <c r="BT41" s="292">
        <f>SUM(B41:BR41)</f>
        <v>105.30999999999999</v>
      </c>
    </row>
    <row r="42" spans="1:72" ht="11.5" thickTop="1" thickBot="1">
      <c r="A42" s="134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</row>
    <row r="43" spans="1:72" s="239" customFormat="1" ht="11" thickTop="1">
      <c r="A43" s="240" t="s">
        <v>124</v>
      </c>
      <c r="B43" s="18" t="str">
        <f>B$4</f>
        <v>Insurance</v>
      </c>
      <c r="C43" s="13" t="str">
        <f t="shared" ref="C43:BQ43" si="10">C$4</f>
        <v>Licence</v>
      </c>
      <c r="D43" s="18" t="str">
        <f t="shared" si="10"/>
        <v>Mooring</v>
      </c>
      <c r="E43" s="18" t="str">
        <f t="shared" si="10"/>
        <v>Swanley</v>
      </c>
      <c r="F43" s="18" t="str">
        <f t="shared" si="10"/>
        <v>Allen-Mead</v>
      </c>
      <c r="G43" s="18" t="str">
        <f t="shared" si="10"/>
        <v>Swanley</v>
      </c>
      <c r="H43" s="18" t="str">
        <f t="shared" si="10"/>
        <v>Allen-Mead</v>
      </c>
      <c r="I43" s="18" t="str">
        <f t="shared" si="10"/>
        <v>Swanley</v>
      </c>
      <c r="J43" s="18" t="str">
        <f t="shared" si="10"/>
        <v>Allen-Mead</v>
      </c>
      <c r="K43" s="18" t="str">
        <f t="shared" si="10"/>
        <v>PB</v>
      </c>
      <c r="L43" s="18" t="str">
        <f t="shared" si="10"/>
        <v>PB</v>
      </c>
      <c r="M43" s="18" t="str">
        <f t="shared" si="10"/>
        <v>Atlass</v>
      </c>
      <c r="N43" s="18" t="str">
        <f t="shared" si="10"/>
        <v>DK</v>
      </c>
      <c r="O43" s="18" t="str">
        <f t="shared" si="10"/>
        <v>Atlass</v>
      </c>
      <c r="P43" s="18" t="str">
        <f t="shared" si="10"/>
        <v>Kee</v>
      </c>
      <c r="Q43" s="18" t="str">
        <f t="shared" si="10"/>
        <v>Kee</v>
      </c>
      <c r="R43" s="18" t="str">
        <f t="shared" si="10"/>
        <v>Atlass</v>
      </c>
      <c r="S43" s="18" t="str">
        <f t="shared" si="10"/>
        <v>Fisher</v>
      </c>
      <c r="T43" s="18" t="str">
        <f t="shared" si="10"/>
        <v>unscheduled</v>
      </c>
      <c r="U43" s="18" t="str">
        <f t="shared" si="10"/>
        <v>unscheduled</v>
      </c>
      <c r="V43" s="18" t="str">
        <f t="shared" si="10"/>
        <v>Brohi</v>
      </c>
      <c r="W43" s="18" t="str">
        <f t="shared" si="10"/>
        <v>unscheduled</v>
      </c>
      <c r="X43" s="18" t="str">
        <f t="shared" si="10"/>
        <v>unscheduled</v>
      </c>
      <c r="Y43" s="18" t="str">
        <f t="shared" si="10"/>
        <v>PB</v>
      </c>
      <c r="Z43" s="18" t="str">
        <f t="shared" si="10"/>
        <v>unscheduled</v>
      </c>
      <c r="AA43" s="18" t="str">
        <f t="shared" si="10"/>
        <v>unscheduled</v>
      </c>
      <c r="AB43" s="18" t="str">
        <f t="shared" si="10"/>
        <v>PB</v>
      </c>
      <c r="AC43" s="18" t="str">
        <f t="shared" si="10"/>
        <v>Atlass</v>
      </c>
      <c r="AD43" s="18" t="str">
        <f t="shared" si="10"/>
        <v>Derbyshire</v>
      </c>
      <c r="AE43" s="18" t="str">
        <f t="shared" si="10"/>
        <v>James</v>
      </c>
      <c r="AF43" s="18" t="str">
        <f t="shared" si="10"/>
        <v>Martin</v>
      </c>
      <c r="AG43" s="18" t="str">
        <f t="shared" si="10"/>
        <v>unscheduled</v>
      </c>
      <c r="AH43" s="18" t="str">
        <f t="shared" si="10"/>
        <v>(DA/HA)</v>
      </c>
      <c r="AI43" s="18" t="str">
        <f t="shared" si="10"/>
        <v>Brough</v>
      </c>
      <c r="AJ43" s="18" t="str">
        <f t="shared" si="10"/>
        <v>unscheduled</v>
      </c>
      <c r="AK43" s="18" t="str">
        <f t="shared" si="10"/>
        <v>unscheduled</v>
      </c>
      <c r="AL43" s="18" t="str">
        <f t="shared" si="10"/>
        <v>Derbyshire</v>
      </c>
      <c r="AM43" s="18" t="str">
        <f t="shared" si="10"/>
        <v>Fisher</v>
      </c>
      <c r="AN43" s="13" t="str">
        <f t="shared" si="10"/>
        <v>Martin</v>
      </c>
      <c r="AO43" s="13" t="str">
        <f t="shared" si="10"/>
        <v>unscheduled</v>
      </c>
      <c r="AP43" s="21" t="str">
        <f t="shared" si="10"/>
        <v>unscheduled</v>
      </c>
      <c r="AQ43" s="18" t="str">
        <f t="shared" si="10"/>
        <v>unscheduled</v>
      </c>
      <c r="AR43" s="18" t="str">
        <f t="shared" si="10"/>
        <v>unscheduled</v>
      </c>
      <c r="AS43" s="18" t="str">
        <f t="shared" si="10"/>
        <v>James</v>
      </c>
      <c r="AT43" s="18" t="str">
        <f t="shared" si="10"/>
        <v>unscheduled</v>
      </c>
      <c r="AU43" s="18" t="str">
        <f t="shared" si="10"/>
        <v>unscheduled</v>
      </c>
      <c r="AV43" s="18" t="str">
        <f t="shared" si="10"/>
        <v>James</v>
      </c>
      <c r="AW43" s="18" t="str">
        <f t="shared" si="10"/>
        <v>(DA/HA)</v>
      </c>
      <c r="AX43" s="18" t="str">
        <f t="shared" si="10"/>
        <v>Brough</v>
      </c>
      <c r="AY43" s="18" t="str">
        <f t="shared" si="10"/>
        <v>unscheduled</v>
      </c>
      <c r="AZ43" s="18" t="str">
        <f t="shared" si="10"/>
        <v>unscheduled</v>
      </c>
      <c r="BA43" s="18" t="str">
        <f t="shared" si="10"/>
        <v>unscheduled</v>
      </c>
      <c r="BB43" s="18" t="str">
        <f t="shared" si="10"/>
        <v>unscheduled</v>
      </c>
      <c r="BC43" s="18" t="str">
        <f t="shared" si="10"/>
        <v>Xmas</v>
      </c>
      <c r="BD43" s="18" t="str">
        <f t="shared" si="10"/>
        <v>unscheduled</v>
      </c>
      <c r="BE43" s="18" t="str">
        <f t="shared" si="10"/>
        <v>unscheduled</v>
      </c>
      <c r="BF43" s="18" t="str">
        <f t="shared" si="10"/>
        <v>unscheduled</v>
      </c>
      <c r="BG43" s="18" t="str">
        <f t="shared" si="10"/>
        <v>unscheduled</v>
      </c>
      <c r="BH43" s="18">
        <f t="shared" si="10"/>
        <v>0</v>
      </c>
      <c r="BI43" s="18">
        <f t="shared" si="10"/>
        <v>0</v>
      </c>
      <c r="BJ43" s="18">
        <f t="shared" si="10"/>
        <v>0</v>
      </c>
      <c r="BK43" s="18">
        <f t="shared" si="10"/>
        <v>0</v>
      </c>
      <c r="BL43" s="18">
        <f t="shared" si="10"/>
        <v>0</v>
      </c>
      <c r="BM43" s="18">
        <f t="shared" si="10"/>
        <v>0</v>
      </c>
      <c r="BN43" s="18">
        <f t="shared" si="10"/>
        <v>0</v>
      </c>
      <c r="BO43" s="18">
        <f t="shared" si="10"/>
        <v>0</v>
      </c>
      <c r="BP43" s="18">
        <f t="shared" si="10"/>
        <v>0</v>
      </c>
      <c r="BQ43" s="18">
        <f t="shared" si="10"/>
        <v>0</v>
      </c>
      <c r="BR43" s="65">
        <f>MAINTENANCE!BP16</f>
        <v>0</v>
      </c>
      <c r="BS43" s="15"/>
      <c r="BT43" s="14"/>
    </row>
    <row r="44" spans="1:72" s="58" customFormat="1" ht="7.5" thickBot="1">
      <c r="A44" s="261"/>
      <c r="B44" s="177">
        <f>B$5</f>
        <v>44226</v>
      </c>
      <c r="C44" s="178">
        <f t="shared" ref="C44:BQ44" si="11">C$5</f>
        <v>44491</v>
      </c>
      <c r="D44" s="177">
        <f t="shared" si="11"/>
        <v>44504</v>
      </c>
      <c r="E44" s="177">
        <f t="shared" si="11"/>
        <v>44221</v>
      </c>
      <c r="F44" s="177">
        <f t="shared" si="11"/>
        <v>44228</v>
      </c>
      <c r="G44" s="177">
        <f t="shared" si="11"/>
        <v>44243</v>
      </c>
      <c r="H44" s="177">
        <f t="shared" si="11"/>
        <v>44260</v>
      </c>
      <c r="I44" s="177">
        <f t="shared" si="11"/>
        <v>44280</v>
      </c>
      <c r="J44" s="177">
        <f t="shared" si="11"/>
        <v>44292</v>
      </c>
      <c r="K44" s="177">
        <f t="shared" si="11"/>
        <v>44290</v>
      </c>
      <c r="L44" s="177">
        <f t="shared" si="11"/>
        <v>44293</v>
      </c>
      <c r="M44" s="177">
        <f t="shared" si="11"/>
        <v>44259</v>
      </c>
      <c r="N44" s="177">
        <f t="shared" si="11"/>
        <v>44764</v>
      </c>
      <c r="O44" s="177">
        <f t="shared" si="11"/>
        <v>44425</v>
      </c>
      <c r="P44" s="177">
        <f t="shared" si="11"/>
        <v>44497</v>
      </c>
      <c r="Q44" s="177">
        <f t="shared" si="11"/>
        <v>44512</v>
      </c>
      <c r="R44" s="177">
        <f t="shared" si="11"/>
        <v>44550</v>
      </c>
      <c r="S44" s="177">
        <f t="shared" si="11"/>
        <v>44572</v>
      </c>
      <c r="T44" s="177">
        <f t="shared" si="11"/>
        <v>44287</v>
      </c>
      <c r="U44" s="177">
        <f t="shared" si="11"/>
        <v>44294</v>
      </c>
      <c r="V44" s="177">
        <f t="shared" si="11"/>
        <v>44301</v>
      </c>
      <c r="W44" s="177">
        <f t="shared" si="11"/>
        <v>44308</v>
      </c>
      <c r="X44" s="177">
        <f t="shared" si="11"/>
        <v>44315</v>
      </c>
      <c r="Y44" s="177">
        <f t="shared" si="11"/>
        <v>44322</v>
      </c>
      <c r="Z44" s="177">
        <f t="shared" si="11"/>
        <v>44329</v>
      </c>
      <c r="AA44" s="177">
        <f t="shared" si="11"/>
        <v>44336</v>
      </c>
      <c r="AB44" s="177">
        <f t="shared" si="11"/>
        <v>44343</v>
      </c>
      <c r="AC44" s="177">
        <f t="shared" si="11"/>
        <v>44350</v>
      </c>
      <c r="AD44" s="177">
        <f t="shared" si="11"/>
        <v>44357</v>
      </c>
      <c r="AE44" s="177">
        <f t="shared" si="11"/>
        <v>44364</v>
      </c>
      <c r="AF44" s="177">
        <f t="shared" si="11"/>
        <v>44371</v>
      </c>
      <c r="AG44" s="177">
        <f t="shared" si="11"/>
        <v>44378</v>
      </c>
      <c r="AH44" s="177">
        <f t="shared" si="11"/>
        <v>44385</v>
      </c>
      <c r="AI44" s="177">
        <f t="shared" si="11"/>
        <v>44392</v>
      </c>
      <c r="AJ44" s="177">
        <f t="shared" si="11"/>
        <v>44399</v>
      </c>
      <c r="AK44" s="177">
        <f t="shared" si="11"/>
        <v>44406</v>
      </c>
      <c r="AL44" s="177">
        <f t="shared" si="11"/>
        <v>44413</v>
      </c>
      <c r="AM44" s="177">
        <f t="shared" si="11"/>
        <v>44420</v>
      </c>
      <c r="AN44" s="178">
        <f t="shared" si="11"/>
        <v>44427</v>
      </c>
      <c r="AO44" s="178">
        <f t="shared" si="11"/>
        <v>44434</v>
      </c>
      <c r="AP44" s="176">
        <f t="shared" si="11"/>
        <v>44441</v>
      </c>
      <c r="AQ44" s="177">
        <f t="shared" si="11"/>
        <v>44448</v>
      </c>
      <c r="AR44" s="177">
        <f t="shared" si="11"/>
        <v>44455</v>
      </c>
      <c r="AS44" s="177">
        <f t="shared" si="11"/>
        <v>44462</v>
      </c>
      <c r="AT44" s="177">
        <f t="shared" si="11"/>
        <v>44469</v>
      </c>
      <c r="AU44" s="177">
        <f t="shared" si="11"/>
        <v>44476</v>
      </c>
      <c r="AV44" s="177">
        <f t="shared" si="11"/>
        <v>44483</v>
      </c>
      <c r="AW44" s="177">
        <f t="shared" si="11"/>
        <v>44490</v>
      </c>
      <c r="AX44" s="177">
        <f t="shared" si="11"/>
        <v>44497</v>
      </c>
      <c r="AY44" s="177">
        <f t="shared" si="11"/>
        <v>44504</v>
      </c>
      <c r="AZ44" s="177">
        <f t="shared" si="11"/>
        <v>44511</v>
      </c>
      <c r="BA44" s="177">
        <f t="shared" si="11"/>
        <v>44518</v>
      </c>
      <c r="BB44" s="177">
        <f t="shared" si="11"/>
        <v>44525</v>
      </c>
      <c r="BC44" s="177">
        <f t="shared" si="11"/>
        <v>44553</v>
      </c>
      <c r="BD44" s="177">
        <f t="shared" si="11"/>
        <v>44560</v>
      </c>
      <c r="BE44" s="177">
        <f t="shared" si="11"/>
        <v>44567</v>
      </c>
      <c r="BF44" s="177">
        <f t="shared" si="11"/>
        <v>44574</v>
      </c>
      <c r="BG44" s="177">
        <f t="shared" si="11"/>
        <v>44581</v>
      </c>
      <c r="BH44" s="177">
        <f t="shared" si="11"/>
        <v>0</v>
      </c>
      <c r="BI44" s="177">
        <f t="shared" si="11"/>
        <v>0</v>
      </c>
      <c r="BJ44" s="177">
        <f t="shared" si="11"/>
        <v>0</v>
      </c>
      <c r="BK44" s="177">
        <f t="shared" si="11"/>
        <v>0</v>
      </c>
      <c r="BL44" s="177">
        <f t="shared" si="11"/>
        <v>0</v>
      </c>
      <c r="BM44" s="177">
        <f t="shared" si="11"/>
        <v>0</v>
      </c>
      <c r="BN44" s="177" t="e">
        <f t="shared" si="11"/>
        <v>#REF!</v>
      </c>
      <c r="BO44" s="177">
        <f t="shared" si="11"/>
        <v>0</v>
      </c>
      <c r="BP44" s="177">
        <f t="shared" si="11"/>
        <v>0</v>
      </c>
      <c r="BQ44" s="177">
        <f t="shared" si="11"/>
        <v>0</v>
      </c>
      <c r="BR44" s="179">
        <f>MAINTENANCE!BP17</f>
        <v>0</v>
      </c>
      <c r="BS44" s="180"/>
      <c r="BT44" s="243"/>
    </row>
    <row r="45" spans="1:72" ht="7.5" thickTop="1">
      <c r="A45" s="808" t="s">
        <v>192</v>
      </c>
      <c r="B45" s="367"/>
      <c r="C45" s="369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9"/>
      <c r="T45" s="369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  <c r="AJ45" s="367"/>
      <c r="AK45" s="367"/>
      <c r="AL45" s="367"/>
      <c r="AM45" s="367"/>
      <c r="AN45" s="369"/>
      <c r="AO45" s="369"/>
      <c r="AP45" s="368"/>
      <c r="AQ45" s="367"/>
      <c r="AR45" s="367"/>
      <c r="AS45" s="367"/>
      <c r="AT45" s="367"/>
      <c r="AU45" s="367"/>
      <c r="AV45" s="367"/>
      <c r="AW45" s="367"/>
      <c r="AX45" s="367"/>
      <c r="AY45" s="367"/>
      <c r="AZ45" s="367"/>
      <c r="BA45" s="369"/>
      <c r="BB45" s="367"/>
      <c r="BC45" s="367"/>
      <c r="BD45" s="367"/>
      <c r="BE45" s="367"/>
      <c r="BF45" s="367"/>
      <c r="BG45" s="367"/>
      <c r="BH45" s="369"/>
      <c r="BI45" s="56"/>
      <c r="BJ45" s="56"/>
      <c r="BK45" s="56"/>
      <c r="BL45" s="56"/>
      <c r="BM45" s="56"/>
      <c r="BN45" s="56"/>
      <c r="BO45" s="56"/>
      <c r="BP45" s="56"/>
      <c r="BQ45" s="56"/>
      <c r="BR45" s="62"/>
      <c r="BS45" s="49"/>
      <c r="BT45" s="69">
        <f>SUM(C45:BR45)</f>
        <v>0</v>
      </c>
    </row>
    <row r="46" spans="1:72">
      <c r="A46" s="537"/>
      <c r="B46" s="371"/>
      <c r="C46" s="373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6"/>
      <c r="Q46" s="371"/>
      <c r="R46" s="371"/>
      <c r="S46" s="373"/>
      <c r="T46" s="373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3"/>
      <c r="AO46" s="373"/>
      <c r="AP46" s="372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3"/>
      <c r="BB46" s="371"/>
      <c r="BC46" s="371"/>
      <c r="BD46" s="371"/>
      <c r="BE46" s="371"/>
      <c r="BF46" s="371"/>
      <c r="BG46" s="371"/>
      <c r="BH46" s="373"/>
      <c r="BI46" s="56"/>
      <c r="BJ46" s="56"/>
      <c r="BK46" s="56"/>
      <c r="BL46" s="56"/>
      <c r="BM46" s="56"/>
      <c r="BN46" s="56"/>
      <c r="BO46" s="56"/>
      <c r="BP46" s="56"/>
      <c r="BQ46" s="56"/>
      <c r="BR46" s="62"/>
      <c r="BS46" s="49"/>
      <c r="BT46" s="69">
        <f>SUM(C46:BR46)</f>
        <v>0</v>
      </c>
    </row>
    <row r="47" spans="1:72" ht="7.5" thickBot="1">
      <c r="A47" s="377"/>
      <c r="B47" s="378"/>
      <c r="C47" s="380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80"/>
      <c r="T47" s="380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8"/>
      <c r="AK47" s="378"/>
      <c r="AL47" s="378"/>
      <c r="AM47" s="378"/>
      <c r="AN47" s="380"/>
      <c r="AO47" s="380"/>
      <c r="AP47" s="379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80"/>
      <c r="BB47" s="378"/>
      <c r="BC47" s="378"/>
      <c r="BD47" s="378"/>
      <c r="BE47" s="378"/>
      <c r="BF47" s="378"/>
      <c r="BG47" s="378"/>
      <c r="BH47" s="380"/>
      <c r="BI47" s="56"/>
      <c r="BJ47" s="56"/>
      <c r="BK47" s="56"/>
      <c r="BL47" s="56"/>
      <c r="BM47" s="56"/>
      <c r="BN47" s="56"/>
      <c r="BO47" s="56"/>
      <c r="BP47" s="56"/>
      <c r="BQ47" s="56"/>
      <c r="BR47" s="62"/>
      <c r="BS47" s="49"/>
      <c r="BT47" s="69">
        <f>SUM(C47:BR47)</f>
        <v>0</v>
      </c>
    </row>
    <row r="48" spans="1:72" ht="11.5" thickTop="1" thickBot="1">
      <c r="A48" s="127" t="s">
        <v>79</v>
      </c>
      <c r="B48" s="63">
        <f t="shared" ref="B48:AJ48" si="12">SUM(B45:B47)</f>
        <v>0</v>
      </c>
      <c r="C48" s="91">
        <f t="shared" si="12"/>
        <v>0</v>
      </c>
      <c r="D48" s="63">
        <f t="shared" si="12"/>
        <v>0</v>
      </c>
      <c r="E48" s="63">
        <f t="shared" si="12"/>
        <v>0</v>
      </c>
      <c r="F48" s="63">
        <f t="shared" si="12"/>
        <v>0</v>
      </c>
      <c r="G48" s="63">
        <f t="shared" si="12"/>
        <v>0</v>
      </c>
      <c r="H48" s="63">
        <f t="shared" si="12"/>
        <v>0</v>
      </c>
      <c r="I48" s="63">
        <f t="shared" si="12"/>
        <v>0</v>
      </c>
      <c r="J48" s="63">
        <f t="shared" si="12"/>
        <v>0</v>
      </c>
      <c r="K48" s="63">
        <f t="shared" si="12"/>
        <v>0</v>
      </c>
      <c r="L48" s="63">
        <f t="shared" si="12"/>
        <v>0</v>
      </c>
      <c r="M48" s="63">
        <f t="shared" si="12"/>
        <v>0</v>
      </c>
      <c r="N48" s="63">
        <f t="shared" si="12"/>
        <v>0</v>
      </c>
      <c r="O48" s="63">
        <f t="shared" si="12"/>
        <v>0</v>
      </c>
      <c r="P48" s="63">
        <f t="shared" si="12"/>
        <v>0</v>
      </c>
      <c r="Q48" s="63">
        <f t="shared" si="12"/>
        <v>0</v>
      </c>
      <c r="R48" s="63">
        <f t="shared" si="12"/>
        <v>0</v>
      </c>
      <c r="S48" s="91">
        <f t="shared" si="12"/>
        <v>0</v>
      </c>
      <c r="T48" s="91">
        <f t="shared" si="12"/>
        <v>0</v>
      </c>
      <c r="U48" s="63">
        <f t="shared" si="12"/>
        <v>0</v>
      </c>
      <c r="V48" s="63">
        <f t="shared" si="12"/>
        <v>0</v>
      </c>
      <c r="W48" s="63">
        <f t="shared" si="12"/>
        <v>0</v>
      </c>
      <c r="X48" s="63">
        <f t="shared" si="12"/>
        <v>0</v>
      </c>
      <c r="Y48" s="63">
        <f t="shared" si="12"/>
        <v>0</v>
      </c>
      <c r="Z48" s="63">
        <f t="shared" si="12"/>
        <v>0</v>
      </c>
      <c r="AA48" s="63">
        <f t="shared" si="12"/>
        <v>0</v>
      </c>
      <c r="AB48" s="63">
        <f t="shared" si="12"/>
        <v>0</v>
      </c>
      <c r="AC48" s="63">
        <f t="shared" si="12"/>
        <v>0</v>
      </c>
      <c r="AD48" s="63">
        <f t="shared" si="12"/>
        <v>0</v>
      </c>
      <c r="AE48" s="63">
        <f t="shared" si="12"/>
        <v>0</v>
      </c>
      <c r="AF48" s="63">
        <f t="shared" si="12"/>
        <v>0</v>
      </c>
      <c r="AG48" s="63">
        <f t="shared" si="12"/>
        <v>0</v>
      </c>
      <c r="AH48" s="63">
        <f t="shared" si="12"/>
        <v>0</v>
      </c>
      <c r="AI48" s="63">
        <f t="shared" si="12"/>
        <v>0</v>
      </c>
      <c r="AJ48" s="63">
        <f t="shared" si="12"/>
        <v>0</v>
      </c>
      <c r="AK48" s="63">
        <f t="shared" ref="AK48:BP48" si="13">SUM(AK45:AK47)</f>
        <v>0</v>
      </c>
      <c r="AL48" s="63">
        <f t="shared" si="13"/>
        <v>0</v>
      </c>
      <c r="AM48" s="63">
        <f t="shared" si="13"/>
        <v>0</v>
      </c>
      <c r="AN48" s="91">
        <f t="shared" si="13"/>
        <v>0</v>
      </c>
      <c r="AO48" s="91">
        <f t="shared" si="13"/>
        <v>0</v>
      </c>
      <c r="AP48" s="125">
        <f t="shared" si="13"/>
        <v>0</v>
      </c>
      <c r="AQ48" s="63">
        <f t="shared" si="13"/>
        <v>0</v>
      </c>
      <c r="AR48" s="63">
        <f t="shared" si="13"/>
        <v>0</v>
      </c>
      <c r="AS48" s="63">
        <f t="shared" si="13"/>
        <v>0</v>
      </c>
      <c r="AT48" s="63">
        <f t="shared" si="13"/>
        <v>0</v>
      </c>
      <c r="AU48" s="63">
        <f t="shared" si="13"/>
        <v>0</v>
      </c>
      <c r="AV48" s="63">
        <f t="shared" si="13"/>
        <v>0</v>
      </c>
      <c r="AW48" s="63">
        <f t="shared" si="13"/>
        <v>0</v>
      </c>
      <c r="AX48" s="63">
        <f t="shared" si="13"/>
        <v>0</v>
      </c>
      <c r="AY48" s="63">
        <f t="shared" si="13"/>
        <v>0</v>
      </c>
      <c r="AZ48" s="63">
        <f t="shared" si="13"/>
        <v>0</v>
      </c>
      <c r="BA48" s="63">
        <f t="shared" si="13"/>
        <v>0</v>
      </c>
      <c r="BB48" s="63">
        <f t="shared" si="13"/>
        <v>0</v>
      </c>
      <c r="BC48" s="63">
        <f t="shared" si="13"/>
        <v>0</v>
      </c>
      <c r="BD48" s="63">
        <f>SUM(BD45:BD47)</f>
        <v>0</v>
      </c>
      <c r="BE48" s="63">
        <f>SUM(BE45:BE47)</f>
        <v>0</v>
      </c>
      <c r="BF48" s="63">
        <f t="shared" si="13"/>
        <v>0</v>
      </c>
      <c r="BG48" s="63">
        <f t="shared" si="13"/>
        <v>0</v>
      </c>
      <c r="BH48" s="63">
        <f t="shared" si="13"/>
        <v>0</v>
      </c>
      <c r="BI48" s="63">
        <f t="shared" si="13"/>
        <v>0</v>
      </c>
      <c r="BJ48" s="63">
        <f t="shared" si="13"/>
        <v>0</v>
      </c>
      <c r="BK48" s="63">
        <f t="shared" si="13"/>
        <v>0</v>
      </c>
      <c r="BL48" s="63">
        <f t="shared" si="13"/>
        <v>0</v>
      </c>
      <c r="BM48" s="63">
        <f t="shared" si="13"/>
        <v>0</v>
      </c>
      <c r="BN48" s="63">
        <f t="shared" si="13"/>
        <v>0</v>
      </c>
      <c r="BO48" s="63">
        <f t="shared" si="13"/>
        <v>0</v>
      </c>
      <c r="BP48" s="63">
        <f t="shared" si="13"/>
        <v>0</v>
      </c>
      <c r="BQ48" s="63">
        <f>SUM(BQ45:BQ47)</f>
        <v>0</v>
      </c>
      <c r="BR48" s="132">
        <f>BR45</f>
        <v>0</v>
      </c>
      <c r="BS48" s="49"/>
      <c r="BT48" s="292">
        <f>SUM(B48:BR48)</f>
        <v>0</v>
      </c>
    </row>
    <row r="49" spans="1:72" ht="8" thickTop="1" thickBot="1">
      <c r="A49" s="12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1"/>
      <c r="BT49" s="70"/>
    </row>
    <row r="50" spans="1:72" s="239" customFormat="1" ht="11" thickTop="1">
      <c r="A50" s="240" t="s">
        <v>225</v>
      </c>
      <c r="B50" s="18" t="str">
        <f>B$4</f>
        <v>Insurance</v>
      </c>
      <c r="C50" s="21" t="str">
        <f t="shared" ref="C50:E51" si="14">C4</f>
        <v>Licence</v>
      </c>
      <c r="D50" s="18" t="str">
        <f t="shared" si="14"/>
        <v>Mooring</v>
      </c>
      <c r="E50" s="18" t="str">
        <f t="shared" si="14"/>
        <v>Swanley</v>
      </c>
      <c r="F50" s="18" t="str">
        <f t="shared" ref="F50:AP50" si="15">F4</f>
        <v>Allen-Mead</v>
      </c>
      <c r="G50" s="18" t="str">
        <f t="shared" si="15"/>
        <v>Swanley</v>
      </c>
      <c r="H50" s="18" t="str">
        <f t="shared" si="15"/>
        <v>Allen-Mead</v>
      </c>
      <c r="I50" s="18" t="str">
        <f t="shared" si="15"/>
        <v>Swanley</v>
      </c>
      <c r="J50" s="18" t="str">
        <f t="shared" si="15"/>
        <v>Allen-Mead</v>
      </c>
      <c r="K50" s="18" t="str">
        <f t="shared" si="15"/>
        <v>PB</v>
      </c>
      <c r="L50" s="18" t="str">
        <f t="shared" si="15"/>
        <v>PB</v>
      </c>
      <c r="M50" s="18" t="str">
        <f t="shared" si="15"/>
        <v>Atlass</v>
      </c>
      <c r="N50" s="18" t="str">
        <f t="shared" si="15"/>
        <v>DK</v>
      </c>
      <c r="O50" s="18" t="str">
        <f t="shared" si="15"/>
        <v>Atlass</v>
      </c>
      <c r="P50" s="18" t="str">
        <f t="shared" si="15"/>
        <v>Kee</v>
      </c>
      <c r="Q50" s="18" t="str">
        <f t="shared" si="15"/>
        <v>Kee</v>
      </c>
      <c r="R50" s="18" t="str">
        <f t="shared" si="15"/>
        <v>Atlass</v>
      </c>
      <c r="S50" s="13" t="str">
        <f t="shared" si="15"/>
        <v>Fisher</v>
      </c>
      <c r="T50" s="13" t="str">
        <f t="shared" si="15"/>
        <v>unscheduled</v>
      </c>
      <c r="U50" s="18" t="str">
        <f t="shared" si="15"/>
        <v>unscheduled</v>
      </c>
      <c r="V50" s="18" t="str">
        <f t="shared" si="15"/>
        <v>Brohi</v>
      </c>
      <c r="W50" s="18" t="str">
        <f t="shared" si="15"/>
        <v>unscheduled</v>
      </c>
      <c r="X50" s="18" t="str">
        <f t="shared" si="15"/>
        <v>unscheduled</v>
      </c>
      <c r="Y50" s="18" t="str">
        <f t="shared" si="15"/>
        <v>PB</v>
      </c>
      <c r="Z50" s="18" t="str">
        <f>Z4</f>
        <v>unscheduled</v>
      </c>
      <c r="AA50" s="18" t="str">
        <f t="shared" si="15"/>
        <v>unscheduled</v>
      </c>
      <c r="AB50" s="18" t="str">
        <f t="shared" si="15"/>
        <v>PB</v>
      </c>
      <c r="AC50" s="18" t="str">
        <f t="shared" si="15"/>
        <v>Atlass</v>
      </c>
      <c r="AD50" s="18" t="str">
        <f>AD4</f>
        <v>Derbyshire</v>
      </c>
      <c r="AE50" s="18" t="str">
        <f t="shared" si="15"/>
        <v>James</v>
      </c>
      <c r="AF50" s="18" t="str">
        <f t="shared" si="15"/>
        <v>Martin</v>
      </c>
      <c r="AG50" s="18" t="str">
        <f t="shared" si="15"/>
        <v>unscheduled</v>
      </c>
      <c r="AH50" s="18" t="str">
        <f t="shared" si="15"/>
        <v>(DA/HA)</v>
      </c>
      <c r="AI50" s="18" t="str">
        <f>AI4</f>
        <v>Brough</v>
      </c>
      <c r="AJ50" s="18" t="str">
        <f t="shared" si="15"/>
        <v>unscheduled</v>
      </c>
      <c r="AK50" s="18" t="str">
        <f t="shared" si="15"/>
        <v>unscheduled</v>
      </c>
      <c r="AL50" s="18" t="str">
        <f t="shared" si="15"/>
        <v>Derbyshire</v>
      </c>
      <c r="AM50" s="18" t="str">
        <f t="shared" si="15"/>
        <v>Fisher</v>
      </c>
      <c r="AN50" s="13" t="str">
        <f>AN4</f>
        <v>Martin</v>
      </c>
      <c r="AO50" s="13" t="str">
        <f>AO4</f>
        <v>unscheduled</v>
      </c>
      <c r="AP50" s="21" t="str">
        <f t="shared" si="15"/>
        <v>unscheduled</v>
      </c>
      <c r="AQ50" s="18" t="str">
        <f t="shared" ref="AQ50:BO50" si="16">AQ4</f>
        <v>unscheduled</v>
      </c>
      <c r="AR50" s="18" t="str">
        <f t="shared" si="16"/>
        <v>unscheduled</v>
      </c>
      <c r="AS50" s="18" t="str">
        <f t="shared" si="16"/>
        <v>James</v>
      </c>
      <c r="AT50" s="18" t="str">
        <f t="shared" si="16"/>
        <v>unscheduled</v>
      </c>
      <c r="AU50" s="18" t="str">
        <f t="shared" si="16"/>
        <v>unscheduled</v>
      </c>
      <c r="AV50" s="18" t="str">
        <f t="shared" si="16"/>
        <v>James</v>
      </c>
      <c r="AW50" s="18" t="str">
        <f>AW4</f>
        <v>(DA/HA)</v>
      </c>
      <c r="AX50" s="18" t="str">
        <f t="shared" si="16"/>
        <v>Brough</v>
      </c>
      <c r="AY50" s="18" t="str">
        <f>AY4</f>
        <v>unscheduled</v>
      </c>
      <c r="AZ50" s="18" t="str">
        <f t="shared" si="16"/>
        <v>unscheduled</v>
      </c>
      <c r="BA50" s="18" t="str">
        <f t="shared" si="16"/>
        <v>unscheduled</v>
      </c>
      <c r="BB50" s="18" t="str">
        <f>BB4</f>
        <v>unscheduled</v>
      </c>
      <c r="BC50" s="18" t="str">
        <f t="shared" si="16"/>
        <v>Xmas</v>
      </c>
      <c r="BD50" s="18" t="str">
        <f t="shared" si="16"/>
        <v>unscheduled</v>
      </c>
      <c r="BE50" s="18" t="str">
        <f t="shared" si="16"/>
        <v>unscheduled</v>
      </c>
      <c r="BF50" s="18" t="str">
        <f>BF4</f>
        <v>unscheduled</v>
      </c>
      <c r="BG50" s="18" t="str">
        <f t="shared" si="16"/>
        <v>unscheduled</v>
      </c>
      <c r="BH50" s="18">
        <f t="shared" si="16"/>
        <v>0</v>
      </c>
      <c r="BI50" s="18">
        <f t="shared" si="16"/>
        <v>0</v>
      </c>
      <c r="BJ50" s="18">
        <f t="shared" si="16"/>
        <v>0</v>
      </c>
      <c r="BK50" s="18">
        <f t="shared" si="16"/>
        <v>0</v>
      </c>
      <c r="BL50" s="18">
        <f t="shared" si="16"/>
        <v>0</v>
      </c>
      <c r="BM50" s="18">
        <f>BM4</f>
        <v>0</v>
      </c>
      <c r="BN50" s="18">
        <f>BN4</f>
        <v>0</v>
      </c>
      <c r="BO50" s="18">
        <f t="shared" si="16"/>
        <v>0</v>
      </c>
      <c r="BP50" s="18">
        <f>BP4</f>
        <v>0</v>
      </c>
      <c r="BQ50" s="18">
        <f>BQ4</f>
        <v>0</v>
      </c>
      <c r="BR50" s="65">
        <f>MAINTENANCE!BP27</f>
        <v>0</v>
      </c>
      <c r="BS50" s="15"/>
      <c r="BT50" s="14"/>
    </row>
    <row r="51" spans="1:72" s="58" customFormat="1" ht="7.5" thickBot="1">
      <c r="A51" s="261"/>
      <c r="B51" s="177">
        <f>B$5</f>
        <v>44226</v>
      </c>
      <c r="C51" s="176">
        <f t="shared" si="14"/>
        <v>44491</v>
      </c>
      <c r="D51" s="177">
        <f t="shared" si="14"/>
        <v>44504</v>
      </c>
      <c r="E51" s="177">
        <f t="shared" si="14"/>
        <v>44221</v>
      </c>
      <c r="F51" s="177">
        <f t="shared" ref="F51:AP51" si="17">F5</f>
        <v>44228</v>
      </c>
      <c r="G51" s="177">
        <f t="shared" si="17"/>
        <v>44243</v>
      </c>
      <c r="H51" s="177">
        <f t="shared" si="17"/>
        <v>44260</v>
      </c>
      <c r="I51" s="177">
        <f t="shared" si="17"/>
        <v>44280</v>
      </c>
      <c r="J51" s="177">
        <f t="shared" si="17"/>
        <v>44292</v>
      </c>
      <c r="K51" s="177">
        <f t="shared" si="17"/>
        <v>44290</v>
      </c>
      <c r="L51" s="177">
        <f t="shared" si="17"/>
        <v>44293</v>
      </c>
      <c r="M51" s="177">
        <f t="shared" si="17"/>
        <v>44259</v>
      </c>
      <c r="N51" s="177">
        <f t="shared" si="17"/>
        <v>44764</v>
      </c>
      <c r="O51" s="177">
        <f t="shared" si="17"/>
        <v>44425</v>
      </c>
      <c r="P51" s="177">
        <f t="shared" si="17"/>
        <v>44497</v>
      </c>
      <c r="Q51" s="177">
        <f t="shared" si="17"/>
        <v>44512</v>
      </c>
      <c r="R51" s="177">
        <f t="shared" si="17"/>
        <v>44550</v>
      </c>
      <c r="S51" s="178">
        <f t="shared" si="17"/>
        <v>44572</v>
      </c>
      <c r="T51" s="178">
        <f t="shared" si="17"/>
        <v>44287</v>
      </c>
      <c r="U51" s="177">
        <f t="shared" si="17"/>
        <v>44294</v>
      </c>
      <c r="V51" s="177">
        <f t="shared" si="17"/>
        <v>44301</v>
      </c>
      <c r="W51" s="177">
        <f t="shared" si="17"/>
        <v>44308</v>
      </c>
      <c r="X51" s="177">
        <f t="shared" si="17"/>
        <v>44315</v>
      </c>
      <c r="Y51" s="177">
        <f t="shared" si="17"/>
        <v>44322</v>
      </c>
      <c r="Z51" s="177">
        <f>Z5</f>
        <v>44329</v>
      </c>
      <c r="AA51" s="177">
        <f t="shared" si="17"/>
        <v>44336</v>
      </c>
      <c r="AB51" s="177">
        <f t="shared" si="17"/>
        <v>44343</v>
      </c>
      <c r="AC51" s="177">
        <f t="shared" si="17"/>
        <v>44350</v>
      </c>
      <c r="AD51" s="177">
        <f>AD5</f>
        <v>44357</v>
      </c>
      <c r="AE51" s="177">
        <f t="shared" si="17"/>
        <v>44364</v>
      </c>
      <c r="AF51" s="177">
        <f t="shared" si="17"/>
        <v>44371</v>
      </c>
      <c r="AG51" s="177">
        <f t="shared" si="17"/>
        <v>44378</v>
      </c>
      <c r="AH51" s="177">
        <f t="shared" si="17"/>
        <v>44385</v>
      </c>
      <c r="AI51" s="177">
        <f>AI5</f>
        <v>44392</v>
      </c>
      <c r="AJ51" s="177">
        <f t="shared" si="17"/>
        <v>44399</v>
      </c>
      <c r="AK51" s="177">
        <f t="shared" si="17"/>
        <v>44406</v>
      </c>
      <c r="AL51" s="177">
        <f t="shared" si="17"/>
        <v>44413</v>
      </c>
      <c r="AM51" s="177">
        <f t="shared" si="17"/>
        <v>44420</v>
      </c>
      <c r="AN51" s="178">
        <f>AN5</f>
        <v>44427</v>
      </c>
      <c r="AO51" s="178">
        <f>AO5</f>
        <v>44434</v>
      </c>
      <c r="AP51" s="176">
        <f t="shared" si="17"/>
        <v>44441</v>
      </c>
      <c r="AQ51" s="177">
        <f t="shared" ref="AQ51:BO51" si="18">AQ5</f>
        <v>44448</v>
      </c>
      <c r="AR51" s="177">
        <f t="shared" si="18"/>
        <v>44455</v>
      </c>
      <c r="AS51" s="177">
        <f t="shared" si="18"/>
        <v>44462</v>
      </c>
      <c r="AT51" s="177">
        <f t="shared" si="18"/>
        <v>44469</v>
      </c>
      <c r="AU51" s="177">
        <f t="shared" si="18"/>
        <v>44476</v>
      </c>
      <c r="AV51" s="177">
        <f t="shared" si="18"/>
        <v>44483</v>
      </c>
      <c r="AW51" s="177">
        <f>AW5</f>
        <v>44490</v>
      </c>
      <c r="AX51" s="177">
        <f t="shared" si="18"/>
        <v>44497</v>
      </c>
      <c r="AY51" s="177">
        <f>AY5</f>
        <v>44504</v>
      </c>
      <c r="AZ51" s="177">
        <f t="shared" si="18"/>
        <v>44511</v>
      </c>
      <c r="BA51" s="177">
        <f t="shared" si="18"/>
        <v>44518</v>
      </c>
      <c r="BB51" s="177">
        <f>BB5</f>
        <v>44525</v>
      </c>
      <c r="BC51" s="177">
        <f t="shared" si="18"/>
        <v>44553</v>
      </c>
      <c r="BD51" s="177">
        <f t="shared" si="18"/>
        <v>44560</v>
      </c>
      <c r="BE51" s="177">
        <f t="shared" si="18"/>
        <v>44567</v>
      </c>
      <c r="BF51" s="177">
        <f>BF5</f>
        <v>44574</v>
      </c>
      <c r="BG51" s="177">
        <f t="shared" si="18"/>
        <v>44581</v>
      </c>
      <c r="BH51" s="177">
        <f t="shared" si="18"/>
        <v>0</v>
      </c>
      <c r="BI51" s="177">
        <f t="shared" si="18"/>
        <v>0</v>
      </c>
      <c r="BJ51" s="177">
        <f t="shared" si="18"/>
        <v>0</v>
      </c>
      <c r="BK51" s="177">
        <f t="shared" si="18"/>
        <v>0</v>
      </c>
      <c r="BL51" s="177">
        <f t="shared" si="18"/>
        <v>0</v>
      </c>
      <c r="BM51" s="177">
        <f>BM5</f>
        <v>0</v>
      </c>
      <c r="BN51" s="177" t="e">
        <f>BN5</f>
        <v>#REF!</v>
      </c>
      <c r="BO51" s="177">
        <f t="shared" si="18"/>
        <v>0</v>
      </c>
      <c r="BP51" s="177">
        <f>BP5</f>
        <v>0</v>
      </c>
      <c r="BQ51" s="177">
        <f>BQ5</f>
        <v>0</v>
      </c>
      <c r="BR51" s="179">
        <f>MAINTENANCE!BP28</f>
        <v>0</v>
      </c>
      <c r="BS51" s="180"/>
      <c r="BT51" s="243"/>
    </row>
    <row r="52" spans="1:72" ht="7.5" thickTop="1">
      <c r="A52" s="537" t="s">
        <v>201</v>
      </c>
      <c r="B52" s="371"/>
      <c r="C52" s="373"/>
      <c r="D52" s="371"/>
      <c r="E52" s="402">
        <v>1177</v>
      </c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3"/>
      <c r="T52" s="373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3"/>
      <c r="AO52" s="373"/>
      <c r="AP52" s="372"/>
      <c r="AQ52" s="371"/>
      <c r="AR52" s="371"/>
      <c r="AS52" s="371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62"/>
      <c r="BS52" s="49"/>
      <c r="BT52" s="69">
        <f t="shared" ref="BT52:BT58" si="19">SUM(C52:BR52)</f>
        <v>1177</v>
      </c>
    </row>
    <row r="53" spans="1:72">
      <c r="A53" s="537" t="s">
        <v>202</v>
      </c>
      <c r="B53" s="371"/>
      <c r="C53" s="373"/>
      <c r="D53" s="371"/>
      <c r="E53" s="371"/>
      <c r="F53" s="371">
        <v>2000</v>
      </c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3"/>
      <c r="T53" s="373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3"/>
      <c r="AO53" s="373"/>
      <c r="AP53" s="372"/>
      <c r="AQ53" s="371"/>
      <c r="AR53" s="371"/>
      <c r="AS53" s="371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62"/>
      <c r="BS53" s="49"/>
      <c r="BT53" s="69">
        <f t="shared" si="19"/>
        <v>2000</v>
      </c>
    </row>
    <row r="54" spans="1:72">
      <c r="A54" s="537" t="s">
        <v>236</v>
      </c>
      <c r="B54" s="371"/>
      <c r="C54" s="373"/>
      <c r="D54" s="371"/>
      <c r="E54" s="371"/>
      <c r="F54" s="371"/>
      <c r="G54" s="371">
        <v>100.1</v>
      </c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3"/>
      <c r="T54" s="373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3"/>
      <c r="AO54" s="373"/>
      <c r="AP54" s="372"/>
      <c r="AQ54" s="371"/>
      <c r="AR54" s="371"/>
      <c r="AS54" s="371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2"/>
      <c r="BS54" s="49"/>
      <c r="BT54" s="69">
        <f t="shared" si="19"/>
        <v>100.1</v>
      </c>
    </row>
    <row r="55" spans="1:72">
      <c r="A55" s="537" t="s">
        <v>237</v>
      </c>
      <c r="B55" s="371"/>
      <c r="C55" s="373"/>
      <c r="D55" s="371"/>
      <c r="E55" s="371"/>
      <c r="F55" s="371"/>
      <c r="G55" s="371"/>
      <c r="H55" s="371">
        <v>2461.5</v>
      </c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3"/>
      <c r="T55" s="373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3"/>
      <c r="AO55" s="373"/>
      <c r="AP55" s="372"/>
      <c r="AQ55" s="371"/>
      <c r="AR55" s="371"/>
      <c r="AS55" s="371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2"/>
      <c r="BS55" s="49"/>
      <c r="BT55" s="69">
        <f t="shared" si="19"/>
        <v>2461.5</v>
      </c>
    </row>
    <row r="56" spans="1:72">
      <c r="A56" s="537" t="s">
        <v>238</v>
      </c>
      <c r="B56" s="371"/>
      <c r="C56" s="373"/>
      <c r="D56" s="371"/>
      <c r="E56" s="371"/>
      <c r="F56" s="371"/>
      <c r="G56" s="371"/>
      <c r="H56" s="371"/>
      <c r="I56" s="371">
        <v>86.83</v>
      </c>
      <c r="J56" s="371"/>
      <c r="K56" s="371"/>
      <c r="L56" s="371"/>
      <c r="M56" s="371"/>
      <c r="N56" s="371"/>
      <c r="O56" s="371"/>
      <c r="P56" s="371"/>
      <c r="Q56" s="371"/>
      <c r="R56" s="371"/>
      <c r="S56" s="373"/>
      <c r="T56" s="373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3"/>
      <c r="AO56" s="373"/>
      <c r="AP56" s="372"/>
      <c r="AQ56" s="371"/>
      <c r="AR56" s="371"/>
      <c r="AS56" s="371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62"/>
      <c r="BS56" s="49"/>
      <c r="BT56" s="69">
        <f t="shared" si="19"/>
        <v>86.83</v>
      </c>
    </row>
    <row r="57" spans="1:72" s="257" customFormat="1" ht="9" customHeight="1">
      <c r="A57" s="537" t="s">
        <v>239</v>
      </c>
      <c r="B57" s="371"/>
      <c r="C57" s="373"/>
      <c r="D57" s="371"/>
      <c r="E57" s="371"/>
      <c r="F57" s="371"/>
      <c r="G57" s="371"/>
      <c r="H57" s="371"/>
      <c r="I57" s="371"/>
      <c r="J57" s="371">
        <v>2953.85</v>
      </c>
      <c r="K57" s="371"/>
      <c r="L57" s="371"/>
      <c r="M57" s="371"/>
      <c r="N57" s="371"/>
      <c r="O57" s="371"/>
      <c r="P57" s="371"/>
      <c r="Q57" s="371"/>
      <c r="R57" s="371"/>
      <c r="S57" s="373"/>
      <c r="T57" s="373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3"/>
      <c r="AO57" s="373"/>
      <c r="AP57" s="372"/>
      <c r="AQ57" s="371"/>
      <c r="AR57" s="371"/>
      <c r="AS57" s="371"/>
      <c r="AT57" s="501"/>
      <c r="AU57" s="501"/>
      <c r="AV57" s="501"/>
      <c r="AW57" s="501"/>
      <c r="AX57" s="501"/>
      <c r="AY57" s="501"/>
      <c r="AZ57" s="501"/>
      <c r="BA57" s="501"/>
      <c r="BB57" s="501"/>
      <c r="BC57" s="501"/>
      <c r="BD57" s="501"/>
      <c r="BE57" s="501"/>
      <c r="BF57" s="501"/>
      <c r="BG57" s="501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5"/>
      <c r="BS57" s="256"/>
      <c r="BT57" s="69">
        <f t="shared" si="19"/>
        <v>2953.85</v>
      </c>
    </row>
    <row r="58" spans="1:72" ht="7.5" thickBot="1">
      <c r="A58" s="537" t="s">
        <v>241</v>
      </c>
      <c r="B58" s="371"/>
      <c r="C58" s="373"/>
      <c r="D58" s="371"/>
      <c r="E58" s="371"/>
      <c r="F58" s="371"/>
      <c r="G58" s="371"/>
      <c r="H58" s="371"/>
      <c r="I58" s="371"/>
      <c r="J58" s="371"/>
      <c r="K58" s="371"/>
      <c r="L58" s="371">
        <v>400</v>
      </c>
      <c r="M58" s="371"/>
      <c r="N58" s="371"/>
      <c r="O58" s="371"/>
      <c r="P58" s="371"/>
      <c r="Q58" s="371"/>
      <c r="R58" s="371"/>
      <c r="S58" s="373"/>
      <c r="T58" s="373"/>
      <c r="U58" s="371"/>
      <c r="V58" s="371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3"/>
      <c r="AO58" s="373"/>
      <c r="AP58" s="372"/>
      <c r="AQ58" s="371"/>
      <c r="AR58" s="371"/>
      <c r="AS58" s="371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62"/>
      <c r="BS58" s="49"/>
      <c r="BT58" s="69">
        <f t="shared" si="19"/>
        <v>400</v>
      </c>
    </row>
    <row r="59" spans="1:72" ht="11.5" thickTop="1" thickBot="1">
      <c r="A59" s="127" t="s">
        <v>79</v>
      </c>
      <c r="B59" s="63">
        <f t="shared" ref="B59:J59" si="20">SUM(B52:B58)</f>
        <v>0</v>
      </c>
      <c r="C59" s="125">
        <f t="shared" si="20"/>
        <v>0</v>
      </c>
      <c r="D59" s="63">
        <f t="shared" si="20"/>
        <v>0</v>
      </c>
      <c r="E59" s="63">
        <f t="shared" si="20"/>
        <v>1177</v>
      </c>
      <c r="F59" s="63">
        <f t="shared" si="20"/>
        <v>2000</v>
      </c>
      <c r="G59" s="63">
        <f t="shared" si="20"/>
        <v>100.1</v>
      </c>
      <c r="H59" s="63">
        <f t="shared" si="20"/>
        <v>2461.5</v>
      </c>
      <c r="I59" s="63">
        <f t="shared" si="20"/>
        <v>86.83</v>
      </c>
      <c r="J59" s="63">
        <f t="shared" si="20"/>
        <v>2953.85</v>
      </c>
      <c r="K59" s="63">
        <f t="shared" ref="K59:W59" si="21">SUM(K52:K58)</f>
        <v>0</v>
      </c>
      <c r="L59" s="63">
        <f>SUM(L52:L58)</f>
        <v>400</v>
      </c>
      <c r="M59" s="63">
        <f>SUM(M52:M58)</f>
        <v>0</v>
      </c>
      <c r="N59" s="63">
        <f>SUM(N52:N58)</f>
        <v>0</v>
      </c>
      <c r="O59" s="63">
        <f>SUM(O52:O58)</f>
        <v>0</v>
      </c>
      <c r="P59" s="63">
        <f t="shared" si="21"/>
        <v>0</v>
      </c>
      <c r="Q59" s="63">
        <f t="shared" si="21"/>
        <v>0</v>
      </c>
      <c r="R59" s="63">
        <f t="shared" si="21"/>
        <v>0</v>
      </c>
      <c r="S59" s="91">
        <f t="shared" si="21"/>
        <v>0</v>
      </c>
      <c r="T59" s="91">
        <f t="shared" si="21"/>
        <v>0</v>
      </c>
      <c r="U59" s="63">
        <f t="shared" si="21"/>
        <v>0</v>
      </c>
      <c r="V59" s="63">
        <f>SUM(V52:V58)</f>
        <v>0</v>
      </c>
      <c r="W59" s="63">
        <f t="shared" si="21"/>
        <v>0</v>
      </c>
      <c r="X59" s="63">
        <f>SUM(X52:X58)</f>
        <v>0</v>
      </c>
      <c r="Y59" s="63">
        <f t="shared" ref="Y59:AI59" si="22">SUM(Y52:Y58)</f>
        <v>0</v>
      </c>
      <c r="Z59" s="63">
        <f t="shared" si="22"/>
        <v>0</v>
      </c>
      <c r="AA59" s="63">
        <f t="shared" si="22"/>
        <v>0</v>
      </c>
      <c r="AB59" s="63">
        <f t="shared" si="22"/>
        <v>0</v>
      </c>
      <c r="AC59" s="63">
        <f t="shared" si="22"/>
        <v>0</v>
      </c>
      <c r="AD59" s="63">
        <f t="shared" si="22"/>
        <v>0</v>
      </c>
      <c r="AE59" s="63">
        <f t="shared" si="22"/>
        <v>0</v>
      </c>
      <c r="AF59" s="63">
        <f t="shared" si="22"/>
        <v>0</v>
      </c>
      <c r="AG59" s="63">
        <f t="shared" si="22"/>
        <v>0</v>
      </c>
      <c r="AH59" s="63">
        <f t="shared" si="22"/>
        <v>0</v>
      </c>
      <c r="AI59" s="63">
        <f t="shared" si="22"/>
        <v>0</v>
      </c>
      <c r="AJ59" s="63">
        <f t="shared" ref="AJ59:AP59" si="23">SUM(AJ52:AJ58)</f>
        <v>0</v>
      </c>
      <c r="AK59" s="63">
        <f t="shared" si="23"/>
        <v>0</v>
      </c>
      <c r="AL59" s="63">
        <f t="shared" si="23"/>
        <v>0</v>
      </c>
      <c r="AM59" s="63">
        <f t="shared" si="23"/>
        <v>0</v>
      </c>
      <c r="AN59" s="91">
        <f t="shared" si="23"/>
        <v>0</v>
      </c>
      <c r="AO59" s="91">
        <f t="shared" si="23"/>
        <v>0</v>
      </c>
      <c r="AP59" s="125">
        <f t="shared" si="23"/>
        <v>0</v>
      </c>
      <c r="AQ59" s="63">
        <f t="shared" ref="AQ59:BP59" si="24">SUM(AQ52:AQ58)</f>
        <v>0</v>
      </c>
      <c r="AR59" s="63">
        <f t="shared" si="24"/>
        <v>0</v>
      </c>
      <c r="AS59" s="63">
        <f t="shared" si="24"/>
        <v>0</v>
      </c>
      <c r="AT59" s="63">
        <f t="shared" si="24"/>
        <v>0</v>
      </c>
      <c r="AU59" s="63">
        <f t="shared" si="24"/>
        <v>0</v>
      </c>
      <c r="AV59" s="63">
        <f t="shared" si="24"/>
        <v>0</v>
      </c>
      <c r="AW59" s="63">
        <f t="shared" si="24"/>
        <v>0</v>
      </c>
      <c r="AX59" s="63">
        <f t="shared" si="24"/>
        <v>0</v>
      </c>
      <c r="AY59" s="63">
        <f t="shared" si="24"/>
        <v>0</v>
      </c>
      <c r="AZ59" s="63">
        <f t="shared" si="24"/>
        <v>0</v>
      </c>
      <c r="BA59" s="63">
        <f t="shared" si="24"/>
        <v>0</v>
      </c>
      <c r="BB59" s="63">
        <f t="shared" si="24"/>
        <v>0</v>
      </c>
      <c r="BC59" s="63">
        <f t="shared" si="24"/>
        <v>0</v>
      </c>
      <c r="BD59" s="63">
        <f>SUM(BD52:BD58)</f>
        <v>0</v>
      </c>
      <c r="BE59" s="63">
        <f>SUM(BE52:BE58)</f>
        <v>0</v>
      </c>
      <c r="BF59" s="63">
        <f t="shared" si="24"/>
        <v>0</v>
      </c>
      <c r="BG59" s="63">
        <f t="shared" si="24"/>
        <v>0</v>
      </c>
      <c r="BH59" s="63">
        <f t="shared" si="24"/>
        <v>0</v>
      </c>
      <c r="BI59" s="63">
        <f t="shared" si="24"/>
        <v>0</v>
      </c>
      <c r="BJ59" s="63">
        <f t="shared" si="24"/>
        <v>0</v>
      </c>
      <c r="BK59" s="63">
        <f t="shared" si="24"/>
        <v>0</v>
      </c>
      <c r="BL59" s="63">
        <f t="shared" si="24"/>
        <v>0</v>
      </c>
      <c r="BM59" s="63">
        <f t="shared" si="24"/>
        <v>0</v>
      </c>
      <c r="BN59" s="63">
        <f t="shared" si="24"/>
        <v>0</v>
      </c>
      <c r="BO59" s="63">
        <f t="shared" si="24"/>
        <v>0</v>
      </c>
      <c r="BP59" s="63">
        <f t="shared" si="24"/>
        <v>0</v>
      </c>
      <c r="BQ59" s="63">
        <f>SUM(BQ52:BQ58)</f>
        <v>0</v>
      </c>
      <c r="BR59" s="132">
        <f>BR52</f>
        <v>0</v>
      </c>
      <c r="BS59" s="49"/>
      <c r="BT59" s="292">
        <f>SUM(B59:BR59)</f>
        <v>9179.2800000000007</v>
      </c>
    </row>
    <row r="60" spans="1:72" ht="8" thickTop="1" thickBot="1">
      <c r="A60" s="12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1"/>
      <c r="BT60" s="70"/>
    </row>
    <row r="61" spans="1:72" ht="11" thickTop="1">
      <c r="A61" s="124" t="s">
        <v>43</v>
      </c>
      <c r="B61" s="4"/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6"/>
      <c r="T61" s="16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16"/>
      <c r="AO61" s="16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5"/>
      <c r="BS61" s="9"/>
      <c r="BT61" s="1"/>
    </row>
    <row r="62" spans="1:72" s="479" customFormat="1">
      <c r="A62" s="825" t="s">
        <v>249</v>
      </c>
      <c r="B62" s="624"/>
      <c r="C62" s="625"/>
      <c r="D62" s="624"/>
      <c r="E62" s="624"/>
      <c r="F62" s="624"/>
      <c r="G62" s="624"/>
      <c r="H62" s="624"/>
      <c r="I62" s="624"/>
      <c r="J62" s="624"/>
      <c r="K62" s="624"/>
      <c r="L62" s="624"/>
      <c r="M62" s="624"/>
      <c r="N62" s="624">
        <v>5.23</v>
      </c>
      <c r="O62" s="624"/>
      <c r="P62" s="624"/>
      <c r="Q62" s="624"/>
      <c r="R62" s="624"/>
      <c r="S62" s="625"/>
      <c r="T62" s="625"/>
      <c r="U62" s="624"/>
      <c r="V62" s="624"/>
      <c r="W62" s="624"/>
      <c r="X62" s="624"/>
      <c r="Y62" s="624"/>
      <c r="Z62" s="624"/>
      <c r="AA62" s="624"/>
      <c r="AB62" s="624"/>
      <c r="AC62" s="624"/>
      <c r="AD62" s="624"/>
      <c r="AE62" s="624"/>
      <c r="AF62" s="624"/>
      <c r="AG62" s="624"/>
      <c r="AH62" s="624"/>
      <c r="AI62" s="624"/>
      <c r="AJ62" s="624"/>
      <c r="AK62" s="624"/>
      <c r="AL62" s="624"/>
      <c r="AM62" s="624"/>
      <c r="AN62" s="625"/>
      <c r="AO62" s="625"/>
      <c r="AP62" s="626"/>
      <c r="AQ62" s="624"/>
      <c r="AR62" s="624"/>
      <c r="AS62" s="624"/>
      <c r="AT62" s="624"/>
      <c r="AU62" s="624"/>
      <c r="AV62" s="624"/>
      <c r="AW62" s="624"/>
      <c r="AX62" s="624"/>
      <c r="AY62" s="624"/>
      <c r="AZ62" s="624"/>
      <c r="BA62" s="625"/>
      <c r="BB62" s="624"/>
      <c r="BC62" s="624"/>
      <c r="BD62" s="371"/>
      <c r="BE62" s="371"/>
      <c r="BF62" s="371"/>
      <c r="BG62" s="371"/>
      <c r="BH62" s="373"/>
      <c r="BI62" s="475"/>
      <c r="BJ62" s="475"/>
      <c r="BK62" s="475"/>
      <c r="BL62" s="475"/>
      <c r="BM62" s="475"/>
      <c r="BN62" s="475"/>
      <c r="BO62" s="475"/>
      <c r="BP62" s="475"/>
      <c r="BQ62" s="475"/>
      <c r="BR62" s="476"/>
      <c r="BS62" s="477"/>
      <c r="BT62" s="478">
        <f t="shared" ref="BT62" si="25">SUM(B62:BR62)</f>
        <v>5.23</v>
      </c>
    </row>
    <row r="63" spans="1:72">
      <c r="A63" s="825" t="s">
        <v>250</v>
      </c>
      <c r="B63" s="624"/>
      <c r="C63" s="625"/>
      <c r="D63" s="624"/>
      <c r="E63" s="624"/>
      <c r="F63" s="624"/>
      <c r="G63" s="624"/>
      <c r="H63" s="624"/>
      <c r="I63" s="624"/>
      <c r="J63" s="624"/>
      <c r="K63" s="624"/>
      <c r="L63" s="624"/>
      <c r="M63" s="624"/>
      <c r="N63" s="624">
        <v>3.45</v>
      </c>
      <c r="O63" s="624"/>
      <c r="P63" s="624"/>
      <c r="Q63" s="624"/>
      <c r="R63" s="624"/>
      <c r="S63" s="625"/>
      <c r="T63" s="625"/>
      <c r="U63" s="624"/>
      <c r="V63" s="624"/>
      <c r="W63" s="624"/>
      <c r="X63" s="624"/>
      <c r="Y63" s="624"/>
      <c r="Z63" s="624"/>
      <c r="AA63" s="624"/>
      <c r="AB63" s="624"/>
      <c r="AC63" s="624"/>
      <c r="AD63" s="624"/>
      <c r="AE63" s="624"/>
      <c r="AF63" s="624"/>
      <c r="AG63" s="624"/>
      <c r="AH63" s="624"/>
      <c r="AI63" s="624"/>
      <c r="AJ63" s="624"/>
      <c r="AK63" s="624"/>
      <c r="AL63" s="624"/>
      <c r="AM63" s="624"/>
      <c r="AN63" s="625"/>
      <c r="AO63" s="625"/>
      <c r="AP63" s="626"/>
      <c r="AQ63" s="624"/>
      <c r="AR63" s="624"/>
      <c r="AS63" s="624"/>
      <c r="AT63" s="371"/>
      <c r="AU63" s="371"/>
      <c r="AV63" s="371"/>
      <c r="AW63" s="371"/>
      <c r="AX63" s="371"/>
      <c r="AY63" s="371"/>
      <c r="AZ63" s="371"/>
      <c r="BA63" s="373"/>
      <c r="BB63" s="371"/>
      <c r="BC63" s="371"/>
      <c r="BD63" s="371"/>
      <c r="BE63" s="371"/>
      <c r="BF63" s="371"/>
      <c r="BG63" s="371"/>
      <c r="BH63" s="373"/>
      <c r="BI63" s="56"/>
      <c r="BJ63" s="56"/>
      <c r="BK63" s="56"/>
      <c r="BL63" s="56"/>
      <c r="BM63" s="56"/>
      <c r="BN63" s="56"/>
      <c r="BO63" s="56"/>
      <c r="BP63" s="56"/>
      <c r="BQ63" s="56"/>
      <c r="BR63" s="62"/>
      <c r="BS63" s="49"/>
      <c r="BT63" s="69">
        <f t="shared" ref="BT63:BT73" si="26">SUM(C63:BR63)</f>
        <v>3.45</v>
      </c>
    </row>
    <row r="64" spans="1:72">
      <c r="A64" s="825" t="s">
        <v>251</v>
      </c>
      <c r="B64" s="624"/>
      <c r="C64" s="625"/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4"/>
      <c r="S64" s="625"/>
      <c r="T64" s="625"/>
      <c r="U64" s="624"/>
      <c r="V64" s="624"/>
      <c r="W64" s="624"/>
      <c r="X64" s="624"/>
      <c r="Y64" s="624"/>
      <c r="Z64" s="624"/>
      <c r="AA64" s="624"/>
      <c r="AB64" s="624"/>
      <c r="AC64" s="624"/>
      <c r="AD64" s="624"/>
      <c r="AE64" s="624"/>
      <c r="AF64" s="624"/>
      <c r="AG64" s="624"/>
      <c r="AH64" s="624"/>
      <c r="AI64" s="624"/>
      <c r="AJ64" s="624"/>
      <c r="AK64" s="624"/>
      <c r="AL64" s="624"/>
      <c r="AM64" s="624"/>
      <c r="AN64" s="625">
        <v>2.89</v>
      </c>
      <c r="AO64" s="625"/>
      <c r="AP64" s="626"/>
      <c r="AQ64" s="624"/>
      <c r="AR64" s="624"/>
      <c r="AS64" s="624"/>
      <c r="AT64" s="371"/>
      <c r="AU64" s="371"/>
      <c r="AV64" s="371"/>
      <c r="AW64" s="371"/>
      <c r="AX64" s="371"/>
      <c r="AY64" s="371"/>
      <c r="AZ64" s="371"/>
      <c r="BA64" s="373"/>
      <c r="BB64" s="371"/>
      <c r="BC64" s="371"/>
      <c r="BD64" s="371"/>
      <c r="BE64" s="371"/>
      <c r="BF64" s="371"/>
      <c r="BG64" s="371"/>
      <c r="BH64" s="373"/>
      <c r="BI64" s="56"/>
      <c r="BJ64" s="56"/>
      <c r="BK64" s="56"/>
      <c r="BL64" s="56"/>
      <c r="BM64" s="56"/>
      <c r="BN64" s="56"/>
      <c r="BO64" s="56"/>
      <c r="BP64" s="56"/>
      <c r="BQ64" s="56"/>
      <c r="BR64" s="62"/>
      <c r="BS64" s="49"/>
      <c r="BT64" s="69">
        <f t="shared" si="26"/>
        <v>2.89</v>
      </c>
    </row>
    <row r="65" spans="1:72">
      <c r="A65" s="825" t="s">
        <v>255</v>
      </c>
      <c r="B65" s="624"/>
      <c r="C65" s="625"/>
      <c r="D65" s="624"/>
      <c r="E65" s="624"/>
      <c r="F65" s="624"/>
      <c r="G65" s="624"/>
      <c r="H65" s="624"/>
      <c r="I65" s="624"/>
      <c r="J65" s="624"/>
      <c r="K65" s="624"/>
      <c r="L65" s="624"/>
      <c r="M65" s="624"/>
      <c r="N65" s="624"/>
      <c r="O65" s="624"/>
      <c r="P65" s="624"/>
      <c r="Q65" s="624">
        <v>41.15</v>
      </c>
      <c r="R65" s="624"/>
      <c r="S65" s="625"/>
      <c r="T65" s="625"/>
      <c r="U65" s="624"/>
      <c r="V65" s="624"/>
      <c r="W65" s="624"/>
      <c r="X65" s="624"/>
      <c r="Y65" s="624"/>
      <c r="Z65" s="624"/>
      <c r="AA65" s="624"/>
      <c r="AB65" s="624"/>
      <c r="AC65" s="624"/>
      <c r="AD65" s="624"/>
      <c r="AE65" s="624"/>
      <c r="AF65" s="624"/>
      <c r="AG65" s="624"/>
      <c r="AH65" s="624"/>
      <c r="AI65" s="624"/>
      <c r="AJ65" s="624"/>
      <c r="AK65" s="624"/>
      <c r="AL65" s="624"/>
      <c r="AM65" s="624"/>
      <c r="AN65" s="625"/>
      <c r="AO65" s="625"/>
      <c r="AP65" s="626"/>
      <c r="AQ65" s="624"/>
      <c r="AR65" s="624"/>
      <c r="AS65" s="624"/>
      <c r="AT65" s="371"/>
      <c r="AU65" s="371"/>
      <c r="AV65" s="371"/>
      <c r="AW65" s="371"/>
      <c r="AX65" s="371"/>
      <c r="AY65" s="371"/>
      <c r="AZ65" s="371"/>
      <c r="BA65" s="373"/>
      <c r="BB65" s="371"/>
      <c r="BC65" s="371"/>
      <c r="BD65" s="371"/>
      <c r="BE65" s="371"/>
      <c r="BF65" s="371"/>
      <c r="BG65" s="371"/>
      <c r="BH65" s="373"/>
      <c r="BI65" s="56"/>
      <c r="BJ65" s="56"/>
      <c r="BK65" s="56"/>
      <c r="BL65" s="56"/>
      <c r="BM65" s="56"/>
      <c r="BN65" s="56"/>
      <c r="BO65" s="56"/>
      <c r="BP65" s="56"/>
      <c r="BQ65" s="56"/>
      <c r="BR65" s="62"/>
      <c r="BS65" s="49"/>
      <c r="BT65" s="69">
        <f t="shared" si="26"/>
        <v>41.15</v>
      </c>
    </row>
    <row r="66" spans="1:72">
      <c r="A66" s="825" t="s">
        <v>258</v>
      </c>
      <c r="B66" s="624"/>
      <c r="C66" s="625"/>
      <c r="D66" s="624"/>
      <c r="E66" s="624"/>
      <c r="F66" s="624"/>
      <c r="G66" s="624"/>
      <c r="H66" s="624"/>
      <c r="I66" s="624"/>
      <c r="J66" s="624"/>
      <c r="K66" s="624"/>
      <c r="L66" s="624"/>
      <c r="M66" s="624"/>
      <c r="N66" s="624"/>
      <c r="O66" s="624"/>
      <c r="P66" s="624"/>
      <c r="Q66" s="624"/>
      <c r="R66" s="624">
        <v>39</v>
      </c>
      <c r="S66" s="625"/>
      <c r="T66" s="625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624"/>
      <c r="AL66" s="624"/>
      <c r="AM66" s="624"/>
      <c r="AN66" s="625"/>
      <c r="AO66" s="625"/>
      <c r="AP66" s="626"/>
      <c r="AQ66" s="624"/>
      <c r="AR66" s="624"/>
      <c r="AS66" s="624"/>
      <c r="AT66" s="624"/>
      <c r="AU66" s="624"/>
      <c r="AV66" s="624"/>
      <c r="AW66" s="624"/>
      <c r="AX66" s="624"/>
      <c r="AY66" s="624"/>
      <c r="AZ66" s="624"/>
      <c r="BA66" s="625"/>
      <c r="BB66" s="624"/>
      <c r="BC66" s="624"/>
      <c r="BD66" s="624"/>
      <c r="BE66" s="624"/>
      <c r="BF66" s="624"/>
      <c r="BG66" s="624"/>
      <c r="BH66" s="625"/>
      <c r="BI66" s="56"/>
      <c r="BJ66" s="56"/>
      <c r="BK66" s="56"/>
      <c r="BL66" s="56"/>
      <c r="BM66" s="56"/>
      <c r="BN66" s="56"/>
      <c r="BO66" s="56"/>
      <c r="BP66" s="56"/>
      <c r="BQ66" s="56"/>
      <c r="BR66" s="62"/>
      <c r="BS66" s="49"/>
      <c r="BT66" s="69">
        <f t="shared" ref="BT66" si="27">SUM(C66:BR66)</f>
        <v>39</v>
      </c>
    </row>
    <row r="67" spans="1:72" hidden="1">
      <c r="A67" s="825"/>
      <c r="B67" s="624"/>
      <c r="C67" s="625"/>
      <c r="D67" s="624"/>
      <c r="E67" s="624"/>
      <c r="F67" s="624"/>
      <c r="G67" s="624"/>
      <c r="H67" s="624"/>
      <c r="I67" s="624"/>
      <c r="J67" s="624"/>
      <c r="K67" s="624"/>
      <c r="L67" s="624"/>
      <c r="M67" s="624"/>
      <c r="N67" s="624"/>
      <c r="O67" s="624"/>
      <c r="P67" s="624"/>
      <c r="Q67" s="624"/>
      <c r="R67" s="624"/>
      <c r="S67" s="625"/>
      <c r="T67" s="625"/>
      <c r="U67" s="624"/>
      <c r="V67" s="624"/>
      <c r="W67" s="624"/>
      <c r="X67" s="624"/>
      <c r="Y67" s="624"/>
      <c r="Z67" s="624"/>
      <c r="AA67" s="624"/>
      <c r="AB67" s="624"/>
      <c r="AC67" s="624"/>
      <c r="AD67" s="624"/>
      <c r="AE67" s="624"/>
      <c r="AF67" s="624"/>
      <c r="AG67" s="624"/>
      <c r="AH67" s="624"/>
      <c r="AI67" s="624"/>
      <c r="AJ67" s="624"/>
      <c r="AK67" s="624"/>
      <c r="AL67" s="624"/>
      <c r="AM67" s="624"/>
      <c r="AN67" s="625"/>
      <c r="AO67" s="625"/>
      <c r="AP67" s="626"/>
      <c r="AQ67" s="624"/>
      <c r="AR67" s="624"/>
      <c r="AS67" s="624"/>
      <c r="AT67" s="371"/>
      <c r="AU67" s="371"/>
      <c r="AV67" s="371"/>
      <c r="AW67" s="371"/>
      <c r="AX67" s="371"/>
      <c r="AY67" s="371"/>
      <c r="AZ67" s="371"/>
      <c r="BA67" s="373"/>
      <c r="BB67" s="371"/>
      <c r="BC67" s="371"/>
      <c r="BD67" s="371"/>
      <c r="BE67" s="371"/>
      <c r="BF67" s="371"/>
      <c r="BG67" s="371"/>
      <c r="BH67" s="373"/>
      <c r="BI67" s="56"/>
      <c r="BJ67" s="56"/>
      <c r="BK67" s="56"/>
      <c r="BL67" s="56"/>
      <c r="BM67" s="56"/>
      <c r="BN67" s="56"/>
      <c r="BO67" s="56"/>
      <c r="BP67" s="56"/>
      <c r="BQ67" s="56"/>
      <c r="BR67" s="62"/>
      <c r="BS67" s="49"/>
      <c r="BT67" s="69">
        <f t="shared" ref="BT67" si="28">SUM(C67:BR67)</f>
        <v>0</v>
      </c>
    </row>
    <row r="68" spans="1:72" hidden="1">
      <c r="A68" s="825"/>
      <c r="B68" s="624"/>
      <c r="C68" s="625"/>
      <c r="D68" s="624"/>
      <c r="E68" s="624"/>
      <c r="F68" s="624"/>
      <c r="G68" s="624"/>
      <c r="H68" s="624"/>
      <c r="I68" s="624"/>
      <c r="J68" s="624"/>
      <c r="K68" s="624"/>
      <c r="L68" s="624"/>
      <c r="M68" s="624"/>
      <c r="N68" s="624"/>
      <c r="O68" s="624"/>
      <c r="P68" s="624"/>
      <c r="Q68" s="624"/>
      <c r="R68" s="624"/>
      <c r="S68" s="625"/>
      <c r="T68" s="625"/>
      <c r="U68" s="624"/>
      <c r="V68" s="624"/>
      <c r="W68" s="624"/>
      <c r="X68" s="624"/>
      <c r="Y68" s="624"/>
      <c r="Z68" s="624"/>
      <c r="AA68" s="624"/>
      <c r="AB68" s="624"/>
      <c r="AC68" s="624"/>
      <c r="AD68" s="624"/>
      <c r="AE68" s="624"/>
      <c r="AF68" s="624"/>
      <c r="AG68" s="624"/>
      <c r="AH68" s="624"/>
      <c r="AI68" s="624"/>
      <c r="AJ68" s="624"/>
      <c r="AK68" s="624"/>
      <c r="AL68" s="624"/>
      <c r="AM68" s="624"/>
      <c r="AN68" s="625"/>
      <c r="AO68" s="625"/>
      <c r="AP68" s="626"/>
      <c r="AQ68" s="624"/>
      <c r="AR68" s="624"/>
      <c r="AS68" s="624"/>
      <c r="AT68" s="371"/>
      <c r="AU68" s="371"/>
      <c r="AV68" s="371"/>
      <c r="AW68" s="371"/>
      <c r="AX68" s="371"/>
      <c r="AY68" s="371"/>
      <c r="AZ68" s="371"/>
      <c r="BA68" s="373"/>
      <c r="BB68" s="371"/>
      <c r="BC68" s="371"/>
      <c r="BD68" s="371"/>
      <c r="BE68" s="371"/>
      <c r="BF68" s="371"/>
      <c r="BG68" s="371"/>
      <c r="BH68" s="373"/>
      <c r="BI68" s="56"/>
      <c r="BJ68" s="56"/>
      <c r="BK68" s="56"/>
      <c r="BL68" s="56"/>
      <c r="BM68" s="56"/>
      <c r="BN68" s="56"/>
      <c r="BO68" s="56"/>
      <c r="BP68" s="56"/>
      <c r="BQ68" s="56"/>
      <c r="BR68" s="62"/>
      <c r="BS68" s="49"/>
      <c r="BT68" s="69">
        <f t="shared" si="26"/>
        <v>0</v>
      </c>
    </row>
    <row r="69" spans="1:72" hidden="1">
      <c r="A69" s="825"/>
      <c r="B69" s="624"/>
      <c r="C69" s="625"/>
      <c r="D69" s="624"/>
      <c r="E69" s="624"/>
      <c r="F69" s="624"/>
      <c r="G69" s="624"/>
      <c r="H69" s="624"/>
      <c r="I69" s="624"/>
      <c r="J69" s="624"/>
      <c r="K69" s="624"/>
      <c r="L69" s="624"/>
      <c r="M69" s="624"/>
      <c r="N69" s="624"/>
      <c r="O69" s="624"/>
      <c r="P69" s="624"/>
      <c r="Q69" s="624"/>
      <c r="R69" s="624"/>
      <c r="S69" s="625"/>
      <c r="T69" s="625"/>
      <c r="U69" s="624"/>
      <c r="V69" s="624"/>
      <c r="W69" s="624"/>
      <c r="X69" s="624"/>
      <c r="Y69" s="624"/>
      <c r="Z69" s="624"/>
      <c r="AA69" s="624"/>
      <c r="AB69" s="624"/>
      <c r="AC69" s="624"/>
      <c r="AD69" s="624"/>
      <c r="AE69" s="624"/>
      <c r="AF69" s="624"/>
      <c r="AG69" s="624"/>
      <c r="AH69" s="624"/>
      <c r="AI69" s="624"/>
      <c r="AJ69" s="624"/>
      <c r="AK69" s="624"/>
      <c r="AL69" s="624"/>
      <c r="AM69" s="624"/>
      <c r="AN69" s="625"/>
      <c r="AO69" s="625"/>
      <c r="AP69" s="626"/>
      <c r="AQ69" s="624"/>
      <c r="AR69" s="624"/>
      <c r="AS69" s="624"/>
      <c r="AT69" s="371"/>
      <c r="AU69" s="371"/>
      <c r="AV69" s="371"/>
      <c r="AW69" s="371"/>
      <c r="AX69" s="371"/>
      <c r="AY69" s="371"/>
      <c r="AZ69" s="371"/>
      <c r="BA69" s="373"/>
      <c r="BB69" s="371"/>
      <c r="BC69" s="371"/>
      <c r="BD69" s="371"/>
      <c r="BE69" s="371"/>
      <c r="BF69" s="371"/>
      <c r="BG69" s="371"/>
      <c r="BH69" s="373"/>
      <c r="BI69" s="56"/>
      <c r="BJ69" s="56"/>
      <c r="BK69" s="56"/>
      <c r="BL69" s="56"/>
      <c r="BM69" s="56"/>
      <c r="BN69" s="56"/>
      <c r="BO69" s="56"/>
      <c r="BP69" s="56"/>
      <c r="BQ69" s="56"/>
      <c r="BR69" s="62"/>
      <c r="BS69" s="49"/>
      <c r="BT69" s="69">
        <f t="shared" si="26"/>
        <v>0</v>
      </c>
    </row>
    <row r="70" spans="1:72" hidden="1">
      <c r="A70" s="825"/>
      <c r="B70" s="624"/>
      <c r="C70" s="625"/>
      <c r="D70" s="624"/>
      <c r="E70" s="624"/>
      <c r="F70" s="624"/>
      <c r="G70" s="624"/>
      <c r="H70" s="624"/>
      <c r="I70" s="624"/>
      <c r="J70" s="624"/>
      <c r="K70" s="624"/>
      <c r="L70" s="624"/>
      <c r="M70" s="624"/>
      <c r="N70" s="624"/>
      <c r="O70" s="624"/>
      <c r="P70" s="624"/>
      <c r="Q70" s="624"/>
      <c r="R70" s="624"/>
      <c r="S70" s="625"/>
      <c r="T70" s="625"/>
      <c r="U70" s="624"/>
      <c r="V70" s="624"/>
      <c r="W70" s="624"/>
      <c r="X70" s="624"/>
      <c r="Y70" s="624"/>
      <c r="Z70" s="624"/>
      <c r="AA70" s="624"/>
      <c r="AB70" s="624"/>
      <c r="AC70" s="624"/>
      <c r="AD70" s="624"/>
      <c r="AE70" s="624"/>
      <c r="AF70" s="624"/>
      <c r="AG70" s="624"/>
      <c r="AH70" s="624"/>
      <c r="AI70" s="624"/>
      <c r="AJ70" s="624"/>
      <c r="AK70" s="624"/>
      <c r="AL70" s="624"/>
      <c r="AM70" s="624"/>
      <c r="AN70" s="625"/>
      <c r="AO70" s="625"/>
      <c r="AP70" s="626"/>
      <c r="AQ70" s="624"/>
      <c r="AR70" s="624"/>
      <c r="AS70" s="624"/>
      <c r="AT70" s="371"/>
      <c r="AU70" s="371"/>
      <c r="AV70" s="371"/>
      <c r="AW70" s="371"/>
      <c r="AX70" s="371"/>
      <c r="AY70" s="371"/>
      <c r="AZ70" s="371"/>
      <c r="BA70" s="373"/>
      <c r="BB70" s="371"/>
      <c r="BC70" s="371"/>
      <c r="BD70" s="371"/>
      <c r="BE70" s="371"/>
      <c r="BF70" s="371"/>
      <c r="BG70" s="371"/>
      <c r="BH70" s="373"/>
      <c r="BI70" s="56"/>
      <c r="BJ70" s="56"/>
      <c r="BK70" s="56"/>
      <c r="BL70" s="56"/>
      <c r="BM70" s="56"/>
      <c r="BN70" s="56"/>
      <c r="BO70" s="56"/>
      <c r="BP70" s="56"/>
      <c r="BQ70" s="56"/>
      <c r="BR70" s="62"/>
      <c r="BS70" s="49"/>
      <c r="BT70" s="69">
        <f t="shared" ref="BT70" si="29">SUM(C70:BR70)</f>
        <v>0</v>
      </c>
    </row>
    <row r="71" spans="1:72" hidden="1">
      <c r="A71" s="377"/>
      <c r="B71" s="378"/>
      <c r="C71" s="380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80"/>
      <c r="T71" s="380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80"/>
      <c r="AO71" s="380"/>
      <c r="AP71" s="379"/>
      <c r="AQ71" s="378"/>
      <c r="AR71" s="378"/>
      <c r="AS71" s="378"/>
      <c r="AT71" s="624"/>
      <c r="AU71" s="624"/>
      <c r="AV71" s="624"/>
      <c r="AW71" s="624"/>
      <c r="AX71" s="624"/>
      <c r="AY71" s="624"/>
      <c r="AZ71" s="624"/>
      <c r="BA71" s="625"/>
      <c r="BB71" s="624"/>
      <c r="BC71" s="624"/>
      <c r="BD71" s="624"/>
      <c r="BE71" s="624"/>
      <c r="BF71" s="624"/>
      <c r="BG71" s="624"/>
      <c r="BH71" s="625"/>
      <c r="BI71" s="56"/>
      <c r="BJ71" s="56"/>
      <c r="BK71" s="56"/>
      <c r="BL71" s="56"/>
      <c r="BM71" s="56"/>
      <c r="BN71" s="56"/>
      <c r="BO71" s="56"/>
      <c r="BP71" s="56"/>
      <c r="BQ71" s="56"/>
      <c r="BR71" s="62"/>
      <c r="BS71" s="49"/>
      <c r="BT71" s="69">
        <f t="shared" si="26"/>
        <v>0</v>
      </c>
    </row>
    <row r="72" spans="1:72" hidden="1">
      <c r="A72" s="623"/>
      <c r="B72" s="624"/>
      <c r="C72" s="625"/>
      <c r="D72" s="624"/>
      <c r="E72" s="624"/>
      <c r="F72" s="624"/>
      <c r="G72" s="624"/>
      <c r="H72" s="624"/>
      <c r="I72" s="624"/>
      <c r="J72" s="624"/>
      <c r="K72" s="624"/>
      <c r="L72" s="624"/>
      <c r="M72" s="624"/>
      <c r="N72" s="624"/>
      <c r="O72" s="624"/>
      <c r="P72" s="624"/>
      <c r="Q72" s="624"/>
      <c r="R72" s="624"/>
      <c r="S72" s="625"/>
      <c r="T72" s="625"/>
      <c r="U72" s="624"/>
      <c r="V72" s="624"/>
      <c r="W72" s="624"/>
      <c r="X72" s="624"/>
      <c r="Y72" s="624"/>
      <c r="Z72" s="624"/>
      <c r="AA72" s="624"/>
      <c r="AB72" s="624"/>
      <c r="AC72" s="624"/>
      <c r="AD72" s="624"/>
      <c r="AE72" s="624"/>
      <c r="AF72" s="624"/>
      <c r="AG72" s="624"/>
      <c r="AH72" s="624"/>
      <c r="AI72" s="624"/>
      <c r="AJ72" s="624"/>
      <c r="AK72" s="624"/>
      <c r="AL72" s="624"/>
      <c r="AM72" s="624"/>
      <c r="AN72" s="625"/>
      <c r="AO72" s="625"/>
      <c r="AP72" s="626"/>
      <c r="AQ72" s="624"/>
      <c r="AR72" s="624"/>
      <c r="AS72" s="624"/>
      <c r="AT72" s="624"/>
      <c r="AU72" s="624"/>
      <c r="AV72" s="624"/>
      <c r="AW72" s="624"/>
      <c r="AX72" s="624"/>
      <c r="AY72" s="624"/>
      <c r="AZ72" s="624"/>
      <c r="BA72" s="625"/>
      <c r="BB72" s="624"/>
      <c r="BC72" s="624"/>
      <c r="BD72" s="624"/>
      <c r="BE72" s="624"/>
      <c r="BF72" s="624"/>
      <c r="BG72" s="624"/>
      <c r="BH72" s="625"/>
      <c r="BI72" s="56"/>
      <c r="BJ72" s="56"/>
      <c r="BK72" s="56"/>
      <c r="BL72" s="56"/>
      <c r="BM72" s="56"/>
      <c r="BN72" s="56"/>
      <c r="BO72" s="56"/>
      <c r="BP72" s="56"/>
      <c r="BQ72" s="56"/>
      <c r="BR72" s="62"/>
      <c r="BS72" s="49"/>
      <c r="BT72" s="69">
        <f t="shared" si="26"/>
        <v>0</v>
      </c>
    </row>
    <row r="73" spans="1:72" ht="7.5" thickBot="1">
      <c r="A73" s="623"/>
      <c r="B73" s="624"/>
      <c r="C73" s="625"/>
      <c r="D73" s="624"/>
      <c r="E73" s="624"/>
      <c r="F73" s="624"/>
      <c r="G73" s="624"/>
      <c r="H73" s="624"/>
      <c r="I73" s="624"/>
      <c r="J73" s="624"/>
      <c r="K73" s="624"/>
      <c r="L73" s="624"/>
      <c r="M73" s="624"/>
      <c r="N73" s="624"/>
      <c r="O73" s="624"/>
      <c r="P73" s="624"/>
      <c r="Q73" s="624"/>
      <c r="R73" s="624"/>
      <c r="S73" s="625"/>
      <c r="T73" s="625"/>
      <c r="U73" s="624"/>
      <c r="V73" s="624"/>
      <c r="W73" s="624"/>
      <c r="X73" s="624"/>
      <c r="Y73" s="624"/>
      <c r="Z73" s="624"/>
      <c r="AA73" s="624"/>
      <c r="AB73" s="624"/>
      <c r="AC73" s="624"/>
      <c r="AD73" s="624"/>
      <c r="AE73" s="624"/>
      <c r="AF73" s="624"/>
      <c r="AG73" s="624"/>
      <c r="AH73" s="624"/>
      <c r="AI73" s="624"/>
      <c r="AJ73" s="624"/>
      <c r="AK73" s="624"/>
      <c r="AL73" s="624"/>
      <c r="AM73" s="624"/>
      <c r="AN73" s="625"/>
      <c r="AO73" s="625"/>
      <c r="AP73" s="626"/>
      <c r="AQ73" s="624"/>
      <c r="AR73" s="624"/>
      <c r="AS73" s="624"/>
      <c r="AT73" s="624"/>
      <c r="AU73" s="624"/>
      <c r="AV73" s="624"/>
      <c r="AW73" s="624"/>
      <c r="AX73" s="624"/>
      <c r="AY73" s="624"/>
      <c r="AZ73" s="624"/>
      <c r="BA73" s="625"/>
      <c r="BB73" s="624"/>
      <c r="BC73" s="624"/>
      <c r="BD73" s="624"/>
      <c r="BE73" s="624"/>
      <c r="BF73" s="624"/>
      <c r="BG73" s="624"/>
      <c r="BH73" s="625"/>
      <c r="BI73" s="56"/>
      <c r="BJ73" s="56"/>
      <c r="BK73" s="56"/>
      <c r="BL73" s="56"/>
      <c r="BM73" s="56"/>
      <c r="BN73" s="56"/>
      <c r="BO73" s="56"/>
      <c r="BP73" s="56"/>
      <c r="BQ73" s="56"/>
      <c r="BR73" s="62"/>
      <c r="BS73" s="49"/>
      <c r="BT73" s="69">
        <f t="shared" si="26"/>
        <v>0</v>
      </c>
    </row>
    <row r="74" spans="1:72" hidden="1">
      <c r="A74" s="623"/>
      <c r="B74" s="624"/>
      <c r="C74" s="625"/>
      <c r="D74" s="624"/>
      <c r="E74" s="624"/>
      <c r="F74" s="624"/>
      <c r="G74" s="624"/>
      <c r="H74" s="624"/>
      <c r="I74" s="624"/>
      <c r="J74" s="624"/>
      <c r="K74" s="624"/>
      <c r="L74" s="624"/>
      <c r="M74" s="624"/>
      <c r="N74" s="624"/>
      <c r="O74" s="624"/>
      <c r="P74" s="624"/>
      <c r="Q74" s="624"/>
      <c r="R74" s="624"/>
      <c r="S74" s="625"/>
      <c r="T74" s="625"/>
      <c r="U74" s="624"/>
      <c r="V74" s="624"/>
      <c r="W74" s="624"/>
      <c r="X74" s="624"/>
      <c r="Y74" s="624"/>
      <c r="Z74" s="624"/>
      <c r="AA74" s="624"/>
      <c r="AB74" s="624"/>
      <c r="AC74" s="624"/>
      <c r="AD74" s="624"/>
      <c r="AE74" s="624"/>
      <c r="AF74" s="624"/>
      <c r="AG74" s="624"/>
      <c r="AH74" s="624"/>
      <c r="AI74" s="624"/>
      <c r="AJ74" s="624"/>
      <c r="AK74" s="624"/>
      <c r="AL74" s="624"/>
      <c r="AM74" s="624"/>
      <c r="AN74" s="625"/>
      <c r="AO74" s="625"/>
      <c r="AP74" s="626"/>
      <c r="AQ74" s="624"/>
      <c r="AR74" s="624"/>
      <c r="AS74" s="624"/>
      <c r="AT74" s="624"/>
      <c r="AU74" s="624"/>
      <c r="AV74" s="624"/>
      <c r="AW74" s="624"/>
      <c r="AX74" s="624"/>
      <c r="AY74" s="624"/>
      <c r="AZ74" s="624"/>
      <c r="BA74" s="625"/>
      <c r="BB74" s="624"/>
      <c r="BC74" s="624"/>
      <c r="BD74" s="624"/>
      <c r="BE74" s="624"/>
      <c r="BF74" s="624"/>
      <c r="BG74" s="624"/>
      <c r="BH74" s="625"/>
      <c r="BI74" s="56"/>
      <c r="BJ74" s="56"/>
      <c r="BK74" s="56"/>
      <c r="BL74" s="56"/>
      <c r="BM74" s="56"/>
      <c r="BN74" s="56"/>
      <c r="BO74" s="56"/>
      <c r="BP74" s="56"/>
      <c r="BQ74" s="56"/>
      <c r="BR74" s="62"/>
      <c r="BS74" s="49"/>
      <c r="BT74" s="69">
        <f t="shared" ref="BT74:BT81" si="30">SUM(C74:BR74)</f>
        <v>0</v>
      </c>
    </row>
    <row r="75" spans="1:72" hidden="1">
      <c r="A75" s="623"/>
      <c r="B75" s="624"/>
      <c r="C75" s="625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5"/>
      <c r="T75" s="625"/>
      <c r="U75" s="624"/>
      <c r="V75" s="624"/>
      <c r="W75" s="624"/>
      <c r="X75" s="624"/>
      <c r="Y75" s="624"/>
      <c r="Z75" s="624"/>
      <c r="AA75" s="624"/>
      <c r="AB75" s="624"/>
      <c r="AC75" s="624"/>
      <c r="AD75" s="624"/>
      <c r="AE75" s="624"/>
      <c r="AF75" s="624"/>
      <c r="AG75" s="624"/>
      <c r="AH75" s="624"/>
      <c r="AI75" s="624"/>
      <c r="AJ75" s="624"/>
      <c r="AK75" s="624"/>
      <c r="AL75" s="624"/>
      <c r="AM75" s="624"/>
      <c r="AN75" s="625"/>
      <c r="AO75" s="625"/>
      <c r="AP75" s="626"/>
      <c r="AQ75" s="624"/>
      <c r="AR75" s="624"/>
      <c r="AS75" s="624"/>
      <c r="AT75" s="624"/>
      <c r="AU75" s="624"/>
      <c r="AV75" s="624"/>
      <c r="AW75" s="624"/>
      <c r="AX75" s="624"/>
      <c r="AY75" s="624"/>
      <c r="AZ75" s="624"/>
      <c r="BA75" s="625"/>
      <c r="BB75" s="624"/>
      <c r="BC75" s="624"/>
      <c r="BD75" s="624"/>
      <c r="BE75" s="624"/>
      <c r="BF75" s="624"/>
      <c r="BG75" s="624"/>
      <c r="BH75" s="625"/>
      <c r="BI75" s="56"/>
      <c r="BJ75" s="56"/>
      <c r="BK75" s="56"/>
      <c r="BL75" s="56"/>
      <c r="BM75" s="56"/>
      <c r="BN75" s="56"/>
      <c r="BO75" s="56"/>
      <c r="BP75" s="56"/>
      <c r="BQ75" s="56"/>
      <c r="BR75" s="62"/>
      <c r="BS75" s="49"/>
      <c r="BT75" s="69">
        <f t="shared" si="30"/>
        <v>0</v>
      </c>
    </row>
    <row r="76" spans="1:72" hidden="1">
      <c r="A76" s="377"/>
      <c r="B76" s="378"/>
      <c r="C76" s="380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80"/>
      <c r="T76" s="380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80"/>
      <c r="AO76" s="380"/>
      <c r="AP76" s="379"/>
      <c r="AQ76" s="378"/>
      <c r="AR76" s="378"/>
      <c r="AS76" s="378"/>
      <c r="AT76" s="378"/>
      <c r="AU76" s="378"/>
      <c r="AV76" s="378"/>
      <c r="AW76" s="378"/>
      <c r="AX76" s="378"/>
      <c r="AY76" s="378"/>
      <c r="AZ76" s="378"/>
      <c r="BA76" s="380"/>
      <c r="BB76" s="378"/>
      <c r="BC76" s="378"/>
      <c r="BD76" s="378"/>
      <c r="BE76" s="378"/>
      <c r="BF76" s="378"/>
      <c r="BG76" s="378"/>
      <c r="BH76" s="380"/>
      <c r="BI76" s="56"/>
      <c r="BJ76" s="56"/>
      <c r="BK76" s="56"/>
      <c r="BL76" s="56"/>
      <c r="BM76" s="56"/>
      <c r="BN76" s="56"/>
      <c r="BO76" s="56"/>
      <c r="BP76" s="56"/>
      <c r="BQ76" s="56"/>
      <c r="BR76" s="62"/>
      <c r="BS76" s="49"/>
      <c r="BT76" s="69">
        <f t="shared" si="30"/>
        <v>0</v>
      </c>
    </row>
    <row r="77" spans="1:72" hidden="1">
      <c r="A77" s="623"/>
      <c r="B77" s="624"/>
      <c r="C77" s="625"/>
      <c r="D77" s="624"/>
      <c r="E77" s="624"/>
      <c r="F77" s="624"/>
      <c r="G77" s="624"/>
      <c r="H77" s="624"/>
      <c r="I77" s="624"/>
      <c r="J77" s="624"/>
      <c r="K77" s="624"/>
      <c r="L77" s="624"/>
      <c r="M77" s="624"/>
      <c r="N77" s="624"/>
      <c r="O77" s="624"/>
      <c r="P77" s="624"/>
      <c r="Q77" s="624"/>
      <c r="R77" s="624"/>
      <c r="S77" s="625"/>
      <c r="T77" s="625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4"/>
      <c r="AI77" s="624"/>
      <c r="AJ77" s="624"/>
      <c r="AK77" s="624"/>
      <c r="AL77" s="624"/>
      <c r="AM77" s="624"/>
      <c r="AN77" s="625"/>
      <c r="AO77" s="625"/>
      <c r="AP77" s="626"/>
      <c r="AQ77" s="624"/>
      <c r="AR77" s="624"/>
      <c r="AS77" s="624"/>
      <c r="AT77" s="624"/>
      <c r="AU77" s="624"/>
      <c r="AV77" s="624"/>
      <c r="AW77" s="624"/>
      <c r="AX77" s="624"/>
      <c r="AY77" s="624"/>
      <c r="AZ77" s="624"/>
      <c r="BA77" s="625"/>
      <c r="BB77" s="624"/>
      <c r="BC77" s="624"/>
      <c r="BD77" s="624"/>
      <c r="BE77" s="624"/>
      <c r="BF77" s="624"/>
      <c r="BG77" s="624"/>
      <c r="BH77" s="625"/>
      <c r="BI77" s="56"/>
      <c r="BJ77" s="56"/>
      <c r="BK77" s="56"/>
      <c r="BL77" s="56"/>
      <c r="BM77" s="56"/>
      <c r="BN77" s="56"/>
      <c r="BO77" s="56"/>
      <c r="BP77" s="56"/>
      <c r="BQ77" s="56"/>
      <c r="BR77" s="62"/>
      <c r="BS77" s="49"/>
      <c r="BT77" s="69">
        <f t="shared" si="30"/>
        <v>0</v>
      </c>
    </row>
    <row r="78" spans="1:72" hidden="1">
      <c r="A78" s="623"/>
      <c r="B78" s="624"/>
      <c r="C78" s="625"/>
      <c r="D78" s="624"/>
      <c r="E78" s="624"/>
      <c r="F78" s="624"/>
      <c r="G78" s="624"/>
      <c r="H78" s="624"/>
      <c r="I78" s="624"/>
      <c r="J78" s="624"/>
      <c r="K78" s="624"/>
      <c r="L78" s="624"/>
      <c r="M78" s="624"/>
      <c r="N78" s="624"/>
      <c r="O78" s="624"/>
      <c r="P78" s="624"/>
      <c r="Q78" s="624"/>
      <c r="R78" s="624"/>
      <c r="S78" s="625"/>
      <c r="T78" s="625"/>
      <c r="U78" s="624"/>
      <c r="V78" s="624"/>
      <c r="W78" s="624"/>
      <c r="X78" s="624"/>
      <c r="Y78" s="624"/>
      <c r="Z78" s="624"/>
      <c r="AA78" s="624"/>
      <c r="AB78" s="624"/>
      <c r="AC78" s="624"/>
      <c r="AD78" s="624"/>
      <c r="AE78" s="624"/>
      <c r="AF78" s="624"/>
      <c r="AG78" s="624"/>
      <c r="AH78" s="624"/>
      <c r="AI78" s="624"/>
      <c r="AJ78" s="624"/>
      <c r="AK78" s="624"/>
      <c r="AL78" s="624"/>
      <c r="AM78" s="624"/>
      <c r="AN78" s="625"/>
      <c r="AO78" s="625"/>
      <c r="AP78" s="626"/>
      <c r="AQ78" s="624"/>
      <c r="AR78" s="624"/>
      <c r="AS78" s="624"/>
      <c r="AT78" s="624"/>
      <c r="AU78" s="624"/>
      <c r="AV78" s="624"/>
      <c r="AW78" s="624"/>
      <c r="AX78" s="624"/>
      <c r="AY78" s="624"/>
      <c r="AZ78" s="624"/>
      <c r="BA78" s="625"/>
      <c r="BB78" s="624"/>
      <c r="BC78" s="624"/>
      <c r="BD78" s="624"/>
      <c r="BE78" s="624"/>
      <c r="BF78" s="624"/>
      <c r="BG78" s="624"/>
      <c r="BH78" s="625"/>
      <c r="BI78" s="56"/>
      <c r="BJ78" s="56"/>
      <c r="BK78" s="56"/>
      <c r="BL78" s="56"/>
      <c r="BM78" s="56"/>
      <c r="BN78" s="56"/>
      <c r="BO78" s="56"/>
      <c r="BP78" s="56"/>
      <c r="BQ78" s="56"/>
      <c r="BR78" s="62"/>
      <c r="BS78" s="49"/>
      <c r="BT78" s="69">
        <f t="shared" si="30"/>
        <v>0</v>
      </c>
    </row>
    <row r="79" spans="1:72" hidden="1">
      <c r="A79" s="623"/>
      <c r="B79" s="624"/>
      <c r="C79" s="625"/>
      <c r="D79" s="624"/>
      <c r="E79" s="624"/>
      <c r="F79" s="624"/>
      <c r="G79" s="624"/>
      <c r="H79" s="624"/>
      <c r="I79" s="624"/>
      <c r="J79" s="624"/>
      <c r="K79" s="624"/>
      <c r="L79" s="624"/>
      <c r="M79" s="624"/>
      <c r="N79" s="624"/>
      <c r="O79" s="624"/>
      <c r="P79" s="624"/>
      <c r="Q79" s="624"/>
      <c r="R79" s="624"/>
      <c r="S79" s="625"/>
      <c r="T79" s="625"/>
      <c r="U79" s="624"/>
      <c r="V79" s="624"/>
      <c r="W79" s="624"/>
      <c r="X79" s="624"/>
      <c r="Y79" s="624"/>
      <c r="Z79" s="624"/>
      <c r="AA79" s="624"/>
      <c r="AB79" s="624"/>
      <c r="AC79" s="624"/>
      <c r="AD79" s="624"/>
      <c r="AE79" s="624"/>
      <c r="AF79" s="624"/>
      <c r="AG79" s="624"/>
      <c r="AH79" s="624"/>
      <c r="AI79" s="624"/>
      <c r="AJ79" s="624"/>
      <c r="AK79" s="624"/>
      <c r="AL79" s="624"/>
      <c r="AM79" s="624"/>
      <c r="AN79" s="625"/>
      <c r="AO79" s="625"/>
      <c r="AP79" s="626"/>
      <c r="AQ79" s="624"/>
      <c r="AR79" s="624"/>
      <c r="AS79" s="624"/>
      <c r="AT79" s="624"/>
      <c r="AU79" s="624"/>
      <c r="AV79" s="624"/>
      <c r="AW79" s="624"/>
      <c r="AX79" s="624"/>
      <c r="AY79" s="624"/>
      <c r="AZ79" s="624"/>
      <c r="BA79" s="625"/>
      <c r="BB79" s="624"/>
      <c r="BC79" s="624"/>
      <c r="BD79" s="624"/>
      <c r="BE79" s="624"/>
      <c r="BF79" s="624"/>
      <c r="BG79" s="624"/>
      <c r="BH79" s="625"/>
      <c r="BI79" s="56"/>
      <c r="BJ79" s="56"/>
      <c r="BK79" s="56"/>
      <c r="BL79" s="56"/>
      <c r="BM79" s="56"/>
      <c r="BN79" s="56"/>
      <c r="BO79" s="56"/>
      <c r="BP79" s="56"/>
      <c r="BQ79" s="56"/>
      <c r="BR79" s="62"/>
      <c r="BS79" s="49"/>
      <c r="BT79" s="69">
        <f t="shared" si="30"/>
        <v>0</v>
      </c>
    </row>
    <row r="80" spans="1:72" hidden="1">
      <c r="A80" s="623"/>
      <c r="B80" s="624"/>
      <c r="C80" s="625"/>
      <c r="D80" s="624"/>
      <c r="E80" s="624"/>
      <c r="F80" s="624"/>
      <c r="G80" s="624"/>
      <c r="H80" s="624"/>
      <c r="I80" s="624"/>
      <c r="J80" s="624"/>
      <c r="K80" s="624"/>
      <c r="L80" s="624"/>
      <c r="M80" s="624"/>
      <c r="N80" s="624"/>
      <c r="O80" s="624"/>
      <c r="P80" s="624"/>
      <c r="Q80" s="624"/>
      <c r="R80" s="624"/>
      <c r="S80" s="625"/>
      <c r="T80" s="625"/>
      <c r="U80" s="624"/>
      <c r="V80" s="624"/>
      <c r="W80" s="624"/>
      <c r="X80" s="624"/>
      <c r="Y80" s="624"/>
      <c r="Z80" s="624"/>
      <c r="AA80" s="624"/>
      <c r="AB80" s="624"/>
      <c r="AC80" s="624"/>
      <c r="AD80" s="624"/>
      <c r="AE80" s="624"/>
      <c r="AF80" s="624"/>
      <c r="AG80" s="624"/>
      <c r="AH80" s="624"/>
      <c r="AI80" s="624"/>
      <c r="AJ80" s="624"/>
      <c r="AK80" s="624"/>
      <c r="AL80" s="624"/>
      <c r="AM80" s="624"/>
      <c r="AN80" s="625"/>
      <c r="AO80" s="625"/>
      <c r="AP80" s="626"/>
      <c r="AQ80" s="624"/>
      <c r="AR80" s="624"/>
      <c r="AS80" s="624"/>
      <c r="AT80" s="624"/>
      <c r="AU80" s="624"/>
      <c r="AV80" s="624"/>
      <c r="AW80" s="624"/>
      <c r="AX80" s="624"/>
      <c r="AY80" s="624"/>
      <c r="AZ80" s="624"/>
      <c r="BA80" s="625"/>
      <c r="BB80" s="624"/>
      <c r="BC80" s="624"/>
      <c r="BD80" s="624"/>
      <c r="BE80" s="624"/>
      <c r="BF80" s="624"/>
      <c r="BG80" s="624"/>
      <c r="BH80" s="625"/>
      <c r="BI80" s="56"/>
      <c r="BJ80" s="56"/>
      <c r="BK80" s="56"/>
      <c r="BL80" s="56"/>
      <c r="BM80" s="56"/>
      <c r="BN80" s="56"/>
      <c r="BO80" s="56"/>
      <c r="BP80" s="56"/>
      <c r="BQ80" s="56"/>
      <c r="BR80" s="62"/>
      <c r="BS80" s="49"/>
      <c r="BT80" s="69">
        <f t="shared" si="30"/>
        <v>0</v>
      </c>
    </row>
    <row r="81" spans="1:72" ht="7.5" hidden="1" thickBot="1">
      <c r="A81" s="377"/>
      <c r="B81" s="378"/>
      <c r="C81" s="380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80"/>
      <c r="T81" s="380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80"/>
      <c r="AO81" s="380"/>
      <c r="AP81" s="379"/>
      <c r="AQ81" s="378"/>
      <c r="AR81" s="378"/>
      <c r="AS81" s="378"/>
      <c r="AT81" s="378"/>
      <c r="AU81" s="378"/>
      <c r="AV81" s="378"/>
      <c r="AW81" s="378"/>
      <c r="AX81" s="378"/>
      <c r="AY81" s="378"/>
      <c r="AZ81" s="378"/>
      <c r="BA81" s="380"/>
      <c r="BB81" s="378"/>
      <c r="BC81" s="378"/>
      <c r="BD81" s="378"/>
      <c r="BE81" s="378"/>
      <c r="BF81" s="378"/>
      <c r="BG81" s="378"/>
      <c r="BH81" s="380"/>
      <c r="BI81" s="56"/>
      <c r="BJ81" s="56"/>
      <c r="BK81" s="56"/>
      <c r="BL81" s="56"/>
      <c r="BM81" s="56"/>
      <c r="BN81" s="56"/>
      <c r="BO81" s="56"/>
      <c r="BP81" s="56"/>
      <c r="BQ81" s="56"/>
      <c r="BR81" s="62"/>
      <c r="BS81" s="49"/>
      <c r="BT81" s="69">
        <f t="shared" si="30"/>
        <v>0</v>
      </c>
    </row>
    <row r="82" spans="1:72" ht="8" thickTop="1" thickBot="1">
      <c r="A82" s="129" t="s">
        <v>24</v>
      </c>
      <c r="B82" s="63">
        <f t="shared" ref="B82:AG82" si="31">SUM(B62:B81)</f>
        <v>0</v>
      </c>
      <c r="C82" s="91">
        <f t="shared" si="31"/>
        <v>0</v>
      </c>
      <c r="D82" s="63">
        <f t="shared" si="31"/>
        <v>0</v>
      </c>
      <c r="E82" s="63">
        <f t="shared" si="31"/>
        <v>0</v>
      </c>
      <c r="F82" s="63">
        <f t="shared" si="31"/>
        <v>0</v>
      </c>
      <c r="G82" s="63">
        <f t="shared" si="31"/>
        <v>0</v>
      </c>
      <c r="H82" s="63">
        <f t="shared" si="31"/>
        <v>0</v>
      </c>
      <c r="I82" s="63">
        <f t="shared" si="31"/>
        <v>0</v>
      </c>
      <c r="J82" s="63">
        <f t="shared" si="31"/>
        <v>0</v>
      </c>
      <c r="K82" s="63">
        <f t="shared" si="31"/>
        <v>0</v>
      </c>
      <c r="L82" s="63">
        <f t="shared" si="31"/>
        <v>0</v>
      </c>
      <c r="M82" s="63">
        <f t="shared" si="31"/>
        <v>0</v>
      </c>
      <c r="N82" s="63">
        <f t="shared" si="31"/>
        <v>8.68</v>
      </c>
      <c r="O82" s="63">
        <f t="shared" si="31"/>
        <v>0</v>
      </c>
      <c r="P82" s="63">
        <f t="shared" si="31"/>
        <v>0</v>
      </c>
      <c r="Q82" s="63">
        <f t="shared" si="31"/>
        <v>41.15</v>
      </c>
      <c r="R82" s="63">
        <f t="shared" si="31"/>
        <v>39</v>
      </c>
      <c r="S82" s="91">
        <f t="shared" si="31"/>
        <v>0</v>
      </c>
      <c r="T82" s="91">
        <f t="shared" si="31"/>
        <v>0</v>
      </c>
      <c r="U82" s="63">
        <f t="shared" si="31"/>
        <v>0</v>
      </c>
      <c r="V82" s="63">
        <f t="shared" si="31"/>
        <v>0</v>
      </c>
      <c r="W82" s="63">
        <f t="shared" si="31"/>
        <v>0</v>
      </c>
      <c r="X82" s="63">
        <f t="shared" si="31"/>
        <v>0</v>
      </c>
      <c r="Y82" s="63">
        <f t="shared" si="31"/>
        <v>0</v>
      </c>
      <c r="Z82" s="63">
        <f t="shared" si="31"/>
        <v>0</v>
      </c>
      <c r="AA82" s="63">
        <f t="shared" si="31"/>
        <v>0</v>
      </c>
      <c r="AB82" s="63">
        <f t="shared" si="31"/>
        <v>0</v>
      </c>
      <c r="AC82" s="63">
        <f t="shared" si="31"/>
        <v>0</v>
      </c>
      <c r="AD82" s="63">
        <f t="shared" si="31"/>
        <v>0</v>
      </c>
      <c r="AE82" s="63">
        <f t="shared" si="31"/>
        <v>0</v>
      </c>
      <c r="AF82" s="63">
        <f t="shared" si="31"/>
        <v>0</v>
      </c>
      <c r="AG82" s="63">
        <f t="shared" si="31"/>
        <v>0</v>
      </c>
      <c r="AH82" s="63">
        <f t="shared" ref="AH82:BM82" si="32">SUM(AH62:AH81)</f>
        <v>0</v>
      </c>
      <c r="AI82" s="63">
        <f t="shared" si="32"/>
        <v>0</v>
      </c>
      <c r="AJ82" s="63">
        <f t="shared" si="32"/>
        <v>0</v>
      </c>
      <c r="AK82" s="63">
        <f t="shared" si="32"/>
        <v>0</v>
      </c>
      <c r="AL82" s="63">
        <f t="shared" si="32"/>
        <v>0</v>
      </c>
      <c r="AM82" s="63">
        <f t="shared" si="32"/>
        <v>0</v>
      </c>
      <c r="AN82" s="91">
        <f t="shared" si="32"/>
        <v>2.89</v>
      </c>
      <c r="AO82" s="91">
        <f t="shared" si="32"/>
        <v>0</v>
      </c>
      <c r="AP82" s="125">
        <f t="shared" si="32"/>
        <v>0</v>
      </c>
      <c r="AQ82" s="63">
        <f t="shared" si="32"/>
        <v>0</v>
      </c>
      <c r="AR82" s="63">
        <f t="shared" si="32"/>
        <v>0</v>
      </c>
      <c r="AS82" s="63">
        <f t="shared" si="32"/>
        <v>0</v>
      </c>
      <c r="AT82" s="63">
        <f t="shared" si="32"/>
        <v>0</v>
      </c>
      <c r="AU82" s="63">
        <f t="shared" si="32"/>
        <v>0</v>
      </c>
      <c r="AV82" s="63">
        <f t="shared" si="32"/>
        <v>0</v>
      </c>
      <c r="AW82" s="63">
        <f t="shared" si="32"/>
        <v>0</v>
      </c>
      <c r="AX82" s="63">
        <f t="shared" si="32"/>
        <v>0</v>
      </c>
      <c r="AY82" s="63">
        <f t="shared" si="32"/>
        <v>0</v>
      </c>
      <c r="AZ82" s="63">
        <f t="shared" si="32"/>
        <v>0</v>
      </c>
      <c r="BA82" s="63">
        <f t="shared" si="32"/>
        <v>0</v>
      </c>
      <c r="BB82" s="63">
        <f t="shared" si="32"/>
        <v>0</v>
      </c>
      <c r="BC82" s="63">
        <f t="shared" si="32"/>
        <v>0</v>
      </c>
      <c r="BD82" s="63">
        <f t="shared" si="32"/>
        <v>0</v>
      </c>
      <c r="BE82" s="63">
        <f t="shared" si="32"/>
        <v>0</v>
      </c>
      <c r="BF82" s="63">
        <f t="shared" si="32"/>
        <v>0</v>
      </c>
      <c r="BG82" s="63">
        <f t="shared" si="32"/>
        <v>0</v>
      </c>
      <c r="BH82" s="63">
        <f t="shared" si="32"/>
        <v>0</v>
      </c>
      <c r="BI82" s="63">
        <f t="shared" si="32"/>
        <v>0</v>
      </c>
      <c r="BJ82" s="63">
        <f t="shared" si="32"/>
        <v>0</v>
      </c>
      <c r="BK82" s="63">
        <f t="shared" si="32"/>
        <v>0</v>
      </c>
      <c r="BL82" s="63">
        <f t="shared" si="32"/>
        <v>0</v>
      </c>
      <c r="BM82" s="63">
        <f t="shared" si="32"/>
        <v>0</v>
      </c>
      <c r="BN82" s="63">
        <f t="shared" ref="BN82:BR82" si="33">SUM(BN62:BN81)</f>
        <v>0</v>
      </c>
      <c r="BO82" s="63">
        <f t="shared" si="33"/>
        <v>0</v>
      </c>
      <c r="BP82" s="63">
        <f t="shared" si="33"/>
        <v>0</v>
      </c>
      <c r="BQ82" s="63">
        <f t="shared" si="33"/>
        <v>0</v>
      </c>
      <c r="BR82" s="132">
        <f t="shared" si="33"/>
        <v>0</v>
      </c>
      <c r="BS82" s="49"/>
      <c r="BT82" s="292">
        <f>SUM(B82:BR82)</f>
        <v>91.72</v>
      </c>
    </row>
    <row r="83" spans="1:72" ht="7.5" thickTop="1">
      <c r="A83" s="12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1"/>
      <c r="BT83" s="70"/>
    </row>
    <row r="85" spans="1:72">
      <c r="B85" s="131" t="str">
        <f t="shared" ref="B85:AG85" si="34">IF(B41++B48+ B59+B82=0,"HIDE","")</f>
        <v>HIDE</v>
      </c>
      <c r="C85" s="131" t="str">
        <f t="shared" si="34"/>
        <v>HIDE</v>
      </c>
      <c r="D85" s="131" t="str">
        <f t="shared" si="34"/>
        <v>HIDE</v>
      </c>
      <c r="E85" s="131" t="str">
        <f t="shared" si="34"/>
        <v/>
      </c>
      <c r="F85" s="131" t="str">
        <f t="shared" si="34"/>
        <v/>
      </c>
      <c r="G85" s="131" t="str">
        <f t="shared" si="34"/>
        <v/>
      </c>
      <c r="H85" s="131" t="str">
        <f t="shared" si="34"/>
        <v/>
      </c>
      <c r="I85" s="131" t="str">
        <f t="shared" si="34"/>
        <v/>
      </c>
      <c r="J85" s="131" t="str">
        <f t="shared" si="34"/>
        <v/>
      </c>
      <c r="K85" s="131" t="str">
        <f t="shared" si="34"/>
        <v/>
      </c>
      <c r="L85" s="131" t="str">
        <f t="shared" si="34"/>
        <v/>
      </c>
      <c r="M85" s="131" t="str">
        <f t="shared" si="34"/>
        <v>HIDE</v>
      </c>
      <c r="N85" s="131" t="str">
        <f t="shared" si="34"/>
        <v/>
      </c>
      <c r="O85" s="131" t="str">
        <f t="shared" si="34"/>
        <v>HIDE</v>
      </c>
      <c r="P85" s="131" t="str">
        <f t="shared" si="34"/>
        <v>HIDE</v>
      </c>
      <c r="Q85" s="131" t="str">
        <f t="shared" si="34"/>
        <v/>
      </c>
      <c r="R85" s="131" t="str">
        <f t="shared" si="34"/>
        <v/>
      </c>
      <c r="S85" s="131" t="str">
        <f t="shared" si="34"/>
        <v>HIDE</v>
      </c>
      <c r="T85" s="131" t="str">
        <f t="shared" si="34"/>
        <v>HIDE</v>
      </c>
      <c r="U85" s="131" t="str">
        <f t="shared" si="34"/>
        <v>HIDE</v>
      </c>
      <c r="V85" s="131" t="str">
        <f t="shared" si="34"/>
        <v>HIDE</v>
      </c>
      <c r="W85" s="131" t="str">
        <f t="shared" si="34"/>
        <v>HIDE</v>
      </c>
      <c r="X85" s="131" t="str">
        <f t="shared" si="34"/>
        <v>HIDE</v>
      </c>
      <c r="Y85" s="131" t="str">
        <f t="shared" si="34"/>
        <v>HIDE</v>
      </c>
      <c r="Z85" s="131" t="str">
        <f t="shared" si="34"/>
        <v>HIDE</v>
      </c>
      <c r="AA85" s="131" t="str">
        <f t="shared" si="34"/>
        <v>HIDE</v>
      </c>
      <c r="AB85" s="131" t="str">
        <f t="shared" si="34"/>
        <v>HIDE</v>
      </c>
      <c r="AC85" s="131" t="str">
        <f t="shared" si="34"/>
        <v>HIDE</v>
      </c>
      <c r="AD85" s="131" t="str">
        <f t="shared" si="34"/>
        <v>HIDE</v>
      </c>
      <c r="AE85" s="131" t="str">
        <f t="shared" si="34"/>
        <v>HIDE</v>
      </c>
      <c r="AF85" s="131" t="str">
        <f t="shared" si="34"/>
        <v>HIDE</v>
      </c>
      <c r="AG85" s="131" t="str">
        <f t="shared" si="34"/>
        <v>HIDE</v>
      </c>
      <c r="AH85" s="131" t="str">
        <f t="shared" ref="AH85:BQ85" si="35">IF(AH41++AH48+ AH59+AH82=0,"HIDE","")</f>
        <v>HIDE</v>
      </c>
      <c r="AI85" s="131" t="str">
        <f t="shared" si="35"/>
        <v>HIDE</v>
      </c>
      <c r="AJ85" s="131" t="str">
        <f t="shared" si="35"/>
        <v>HIDE</v>
      </c>
      <c r="AK85" s="131" t="str">
        <f t="shared" si="35"/>
        <v>HIDE</v>
      </c>
      <c r="AL85" s="131" t="str">
        <f t="shared" si="35"/>
        <v>HIDE</v>
      </c>
      <c r="AM85" s="131" t="str">
        <f t="shared" si="35"/>
        <v>HIDE</v>
      </c>
      <c r="AN85" s="131" t="str">
        <f t="shared" si="35"/>
        <v/>
      </c>
      <c r="AO85" s="131" t="str">
        <f t="shared" si="35"/>
        <v>HIDE</v>
      </c>
      <c r="AP85" s="131" t="str">
        <f t="shared" si="35"/>
        <v>HIDE</v>
      </c>
      <c r="AQ85" s="131" t="str">
        <f t="shared" si="35"/>
        <v>HIDE</v>
      </c>
      <c r="AR85" s="131" t="str">
        <f t="shared" si="35"/>
        <v>HIDE</v>
      </c>
      <c r="AS85" s="131" t="str">
        <f t="shared" si="35"/>
        <v>HIDE</v>
      </c>
      <c r="AT85" s="131" t="str">
        <f t="shared" si="35"/>
        <v>HIDE</v>
      </c>
      <c r="AU85" s="131" t="str">
        <f t="shared" si="35"/>
        <v>HIDE</v>
      </c>
      <c r="AV85" s="131" t="str">
        <f t="shared" si="35"/>
        <v>HIDE</v>
      </c>
      <c r="AW85" s="131" t="str">
        <f t="shared" si="35"/>
        <v>HIDE</v>
      </c>
      <c r="AX85" s="131" t="str">
        <f t="shared" si="35"/>
        <v>HIDE</v>
      </c>
      <c r="AY85" s="131" t="str">
        <f t="shared" si="35"/>
        <v>HIDE</v>
      </c>
      <c r="AZ85" s="131" t="str">
        <f t="shared" si="35"/>
        <v>HIDE</v>
      </c>
      <c r="BA85" s="131" t="str">
        <f t="shared" si="35"/>
        <v>HIDE</v>
      </c>
      <c r="BB85" s="131" t="str">
        <f t="shared" si="35"/>
        <v>HIDE</v>
      </c>
      <c r="BC85" s="131" t="str">
        <f t="shared" si="35"/>
        <v>HIDE</v>
      </c>
      <c r="BD85" s="131" t="str">
        <f t="shared" si="35"/>
        <v>HIDE</v>
      </c>
      <c r="BE85" s="131" t="str">
        <f t="shared" si="35"/>
        <v>HIDE</v>
      </c>
      <c r="BF85" s="131" t="str">
        <f t="shared" si="35"/>
        <v>HIDE</v>
      </c>
      <c r="BG85" s="131" t="str">
        <f t="shared" si="35"/>
        <v>HIDE</v>
      </c>
      <c r="BH85" s="131" t="str">
        <f t="shared" si="35"/>
        <v>HIDE</v>
      </c>
      <c r="BI85" s="131" t="str">
        <f t="shared" si="35"/>
        <v>HIDE</v>
      </c>
      <c r="BJ85" s="131" t="str">
        <f t="shared" si="35"/>
        <v>HIDE</v>
      </c>
      <c r="BK85" s="131" t="str">
        <f t="shared" si="35"/>
        <v>HIDE</v>
      </c>
      <c r="BL85" s="131" t="str">
        <f t="shared" si="35"/>
        <v>HIDE</v>
      </c>
      <c r="BM85" s="131" t="str">
        <f t="shared" si="35"/>
        <v>HIDE</v>
      </c>
      <c r="BN85" s="131" t="str">
        <f t="shared" si="35"/>
        <v>HIDE</v>
      </c>
      <c r="BO85" s="131" t="str">
        <f t="shared" si="35"/>
        <v>HIDE</v>
      </c>
      <c r="BP85" s="131" t="str">
        <f t="shared" si="35"/>
        <v>HIDE</v>
      </c>
      <c r="BQ85" s="131" t="str">
        <f t="shared" si="35"/>
        <v>HIDE</v>
      </c>
      <c r="BR85" s="133"/>
    </row>
    <row r="86" spans="1:72" ht="14">
      <c r="A86" s="221" t="s">
        <v>102</v>
      </c>
      <c r="B86" s="131" t="s">
        <v>103</v>
      </c>
      <c r="P86" s="131"/>
      <c r="BR86"/>
      <c r="BS86" s="126"/>
    </row>
  </sheetData>
  <sheetProtection sheet="1" objects="1" scenarios="1"/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95"/>
  <sheetViews>
    <sheetView showZeros="0" topLeftCell="A16" workbookViewId="0">
      <pane xSplit="1" topLeftCell="B1" activePane="topRight" state="frozen"/>
      <selection activeCell="R6" sqref="R6"/>
      <selection pane="topRight" activeCell="A25" sqref="A25:D25"/>
    </sheetView>
  </sheetViews>
  <sheetFormatPr defaultColWidth="16" defaultRowHeight="7"/>
  <cols>
    <col min="1" max="1" width="56.5" style="1" customWidth="1"/>
    <col min="2" max="8" width="11" style="1" customWidth="1"/>
    <col min="9" max="9" width="11.33203125" style="1" customWidth="1"/>
    <col min="10" max="11" width="11" style="1" customWidth="1"/>
    <col min="12" max="16384" width="16" style="1"/>
  </cols>
  <sheetData>
    <row r="1" spans="1:169" ht="36" thickTop="1" thickBot="1">
      <c r="A1" s="218" t="str">
        <f>Summary!$A$2</f>
        <v>OLYMPIC ACCOUNTS</v>
      </c>
      <c r="J1" s="798" t="str">
        <f ca="1">Summary!$T$2</f>
        <v>06 February 2022</v>
      </c>
      <c r="L1" s="311">
        <f>SUM(L20:L32)</f>
        <v>0</v>
      </c>
    </row>
    <row r="2" spans="1:169" ht="23" thickTop="1">
      <c r="A2" s="889" t="s">
        <v>208</v>
      </c>
      <c r="B2" s="26"/>
      <c r="C2" s="26"/>
      <c r="D2" s="26"/>
      <c r="E2" s="26"/>
      <c r="F2" s="26"/>
      <c r="G2" s="26"/>
      <c r="H2" s="26"/>
      <c r="I2" s="26"/>
      <c r="J2" s="26"/>
    </row>
    <row r="3" spans="1:169" ht="22.5">
      <c r="A3" s="889" t="s">
        <v>271</v>
      </c>
      <c r="B3" s="26"/>
      <c r="C3" s="26"/>
      <c r="D3" s="26"/>
      <c r="E3" s="26"/>
      <c r="F3" s="26"/>
      <c r="G3" s="26"/>
      <c r="H3" s="26"/>
      <c r="I3" s="26"/>
      <c r="J3" s="26"/>
      <c r="L3" s="503"/>
    </row>
    <row r="4" spans="1:169" ht="10.5" customHeight="1">
      <c r="A4" s="218"/>
      <c r="H4" s="219"/>
    </row>
    <row r="5" spans="1:169" ht="24" customHeight="1" thickBot="1">
      <c r="A5" s="151" t="str">
        <f>CONCATENATE(Summary!$B$1," INCOME - SUBSCRIPTIONS")</f>
        <v>2021 INCOME - SUBSCRIPTIONS</v>
      </c>
      <c r="B5" s="151"/>
    </row>
    <row r="6" spans="1:169" ht="8" thickTop="1" thickBot="1">
      <c r="A6" s="385"/>
      <c r="B6" s="863" t="s">
        <v>233</v>
      </c>
      <c r="C6" s="391" t="s">
        <v>115</v>
      </c>
      <c r="D6" s="860" t="s">
        <v>232</v>
      </c>
      <c r="E6" s="393" t="s">
        <v>114</v>
      </c>
      <c r="F6" s="860" t="s">
        <v>226</v>
      </c>
      <c r="G6" s="860" t="s">
        <v>231</v>
      </c>
      <c r="H6" s="860" t="s">
        <v>229</v>
      </c>
      <c r="I6" s="862" t="s">
        <v>230</v>
      </c>
      <c r="J6" s="61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64" customFormat="1" ht="7.5" thickTop="1">
      <c r="A7" s="384" t="s">
        <v>141</v>
      </c>
      <c r="B7" s="392">
        <v>44228</v>
      </c>
      <c r="C7" s="392">
        <v>44228</v>
      </c>
      <c r="D7" s="392">
        <v>44228</v>
      </c>
      <c r="E7" s="392">
        <v>43864</v>
      </c>
      <c r="F7" s="392">
        <v>44236</v>
      </c>
      <c r="G7" s="392">
        <v>44228</v>
      </c>
      <c r="H7" s="392">
        <v>44228</v>
      </c>
      <c r="I7" s="392">
        <v>44228</v>
      </c>
      <c r="J7" s="309"/>
    </row>
    <row r="8" spans="1:169" s="64" customFormat="1">
      <c r="A8" s="611" t="s">
        <v>168</v>
      </c>
      <c r="B8" s="381">
        <v>500</v>
      </c>
      <c r="C8" s="381">
        <v>500</v>
      </c>
      <c r="D8" s="381">
        <v>500</v>
      </c>
      <c r="E8" s="381">
        <v>500</v>
      </c>
      <c r="F8" s="381">
        <v>250</v>
      </c>
      <c r="G8" s="381">
        <v>500</v>
      </c>
      <c r="H8" s="381">
        <v>500</v>
      </c>
      <c r="I8" s="381">
        <v>500</v>
      </c>
      <c r="J8" s="613"/>
    </row>
    <row r="9" spans="1:169" s="64" customFormat="1">
      <c r="A9" s="504" t="s">
        <v>166</v>
      </c>
      <c r="B9" s="381">
        <v>900</v>
      </c>
      <c r="C9" s="381">
        <v>900</v>
      </c>
      <c r="D9" s="381">
        <v>900</v>
      </c>
      <c r="E9" s="381">
        <v>900</v>
      </c>
      <c r="F9" s="381"/>
      <c r="G9" s="381">
        <v>900</v>
      </c>
      <c r="H9" s="381">
        <v>900</v>
      </c>
      <c r="I9" s="381">
        <v>900</v>
      </c>
      <c r="J9" s="309"/>
    </row>
    <row r="10" spans="1:169" s="48" customFormat="1" ht="7.5" thickBot="1">
      <c r="A10" s="383" t="s">
        <v>167</v>
      </c>
      <c r="B10" s="610">
        <f t="shared" ref="B10:C10" si="0">SUM(B8:B9)</f>
        <v>1400</v>
      </c>
      <c r="C10" s="610">
        <f t="shared" si="0"/>
        <v>1400</v>
      </c>
      <c r="D10" s="610">
        <f t="shared" ref="D10:H10" si="1">SUM(D8:D9)</f>
        <v>1400</v>
      </c>
      <c r="E10" s="610">
        <f t="shared" si="1"/>
        <v>1400</v>
      </c>
      <c r="F10" s="610">
        <f t="shared" si="1"/>
        <v>250</v>
      </c>
      <c r="G10" s="610">
        <f t="shared" ref="G10" si="2">SUM(G8:G9)</f>
        <v>1400</v>
      </c>
      <c r="H10" s="610">
        <f t="shared" si="1"/>
        <v>1400</v>
      </c>
      <c r="I10" s="610">
        <f t="shared" ref="I10" si="3">SUM(I8:I9)</f>
        <v>1400</v>
      </c>
      <c r="J10" s="572"/>
    </row>
    <row r="11" spans="1:169" s="208" customFormat="1" ht="8" thickTop="1" thickBot="1">
      <c r="A11" s="96" t="s">
        <v>143</v>
      </c>
      <c r="B11" s="358" t="s">
        <v>235</v>
      </c>
      <c r="C11" s="358" t="s">
        <v>235</v>
      </c>
      <c r="D11" s="358" t="s">
        <v>235</v>
      </c>
      <c r="E11" s="358" t="s">
        <v>235</v>
      </c>
      <c r="F11" s="358" t="s">
        <v>235</v>
      </c>
      <c r="G11" s="358" t="s">
        <v>235</v>
      </c>
      <c r="H11" s="358" t="s">
        <v>235</v>
      </c>
      <c r="I11" s="358" t="s">
        <v>235</v>
      </c>
      <c r="J11" s="302"/>
      <c r="M11" s="48"/>
    </row>
    <row r="12" spans="1:169" s="276" customFormat="1" ht="7.5" hidden="1" thickTop="1">
      <c r="B12" s="289">
        <f t="shared" ref="B12:J12" si="4">IF(B11="post bal.",B10,0)</f>
        <v>0</v>
      </c>
      <c r="C12" s="289">
        <f t="shared" si="4"/>
        <v>0</v>
      </c>
      <c r="D12" s="289">
        <f t="shared" si="4"/>
        <v>0</v>
      </c>
      <c r="E12" s="289">
        <f t="shared" si="4"/>
        <v>0</v>
      </c>
      <c r="F12" s="289">
        <f t="shared" si="4"/>
        <v>0</v>
      </c>
      <c r="G12" s="289">
        <f t="shared" si="4"/>
        <v>0</v>
      </c>
      <c r="H12" s="289">
        <f t="shared" si="4"/>
        <v>0</v>
      </c>
      <c r="I12" s="289">
        <f t="shared" si="4"/>
        <v>0</v>
      </c>
      <c r="J12" s="289">
        <f t="shared" si="4"/>
        <v>0</v>
      </c>
    </row>
    <row r="13" spans="1:169" ht="8" thickTop="1" thickBot="1">
      <c r="B13" s="1" t="str">
        <f t="shared" ref="B13:I13" si="5">IF(B12=0,"","post bal.")</f>
        <v/>
      </c>
      <c r="C13" s="1" t="str">
        <f t="shared" si="5"/>
        <v/>
      </c>
      <c r="D13" s="1" t="str">
        <f t="shared" si="5"/>
        <v/>
      </c>
      <c r="E13" s="1" t="str">
        <f t="shared" si="5"/>
        <v/>
      </c>
      <c r="F13" s="1" t="str">
        <f t="shared" si="5"/>
        <v/>
      </c>
      <c r="G13" s="10" t="str">
        <f t="shared" si="5"/>
        <v/>
      </c>
      <c r="H13" s="10" t="str">
        <f t="shared" si="5"/>
        <v/>
      </c>
      <c r="I13" s="10" t="str">
        <f t="shared" si="5"/>
        <v/>
      </c>
      <c r="J13" s="10"/>
      <c r="K13" s="10"/>
    </row>
    <row r="14" spans="1:169" ht="8" thickTop="1" thickBot="1">
      <c r="A14" s="385"/>
      <c r="B14" s="861" t="s">
        <v>227</v>
      </c>
      <c r="C14" s="517" t="s">
        <v>228</v>
      </c>
      <c r="D14" s="517" t="s">
        <v>228</v>
      </c>
      <c r="E14" s="514"/>
      <c r="F14" s="517"/>
      <c r="G14" s="513"/>
      <c r="H14" s="514"/>
      <c r="I14" s="518"/>
      <c r="J14" s="10"/>
      <c r="K14" s="12" t="s">
        <v>67</v>
      </c>
    </row>
    <row r="15" spans="1:169" ht="7.5" thickTop="1">
      <c r="A15" s="384" t="s">
        <v>141</v>
      </c>
      <c r="B15" s="392">
        <v>44228</v>
      </c>
      <c r="C15" s="392">
        <v>44368</v>
      </c>
      <c r="D15" s="515">
        <v>44522</v>
      </c>
      <c r="E15" s="515"/>
      <c r="F15" s="515"/>
      <c r="G15" s="515"/>
      <c r="H15" s="515"/>
      <c r="I15" s="516"/>
      <c r="J15" s="10"/>
      <c r="K15" s="287" t="s">
        <v>16</v>
      </c>
    </row>
    <row r="16" spans="1:169">
      <c r="A16" s="383" t="s">
        <v>168</v>
      </c>
      <c r="B16" s="381">
        <v>250</v>
      </c>
      <c r="C16" s="381">
        <v>250</v>
      </c>
      <c r="D16" s="381">
        <v>250</v>
      </c>
      <c r="E16" s="381"/>
      <c r="F16" s="381"/>
      <c r="G16" s="381"/>
      <c r="H16" s="381"/>
      <c r="I16" s="512"/>
      <c r="J16" s="10"/>
      <c r="K16" s="57">
        <f>SUM(B8:J8,B16:J16)</f>
        <v>4500</v>
      </c>
    </row>
    <row r="17" spans="1:107" ht="7.5" thickBot="1">
      <c r="A17" s="504" t="s">
        <v>166</v>
      </c>
      <c r="B17" s="381"/>
      <c r="C17" s="381"/>
      <c r="D17" s="381"/>
      <c r="E17" s="381"/>
      <c r="F17" s="381"/>
      <c r="G17" s="381"/>
      <c r="H17" s="381"/>
      <c r="I17" s="512"/>
      <c r="J17" s="10"/>
      <c r="K17" s="505">
        <f>SUM(B9:J9,B17:J17)</f>
        <v>6300</v>
      </c>
    </row>
    <row r="18" spans="1:107" ht="8" thickTop="1" thickBot="1">
      <c r="A18" s="383" t="s">
        <v>167</v>
      </c>
      <c r="B18" s="790">
        <f t="shared" ref="B18:I18" si="6">SUM(B16:B17)</f>
        <v>250</v>
      </c>
      <c r="C18" s="790">
        <f t="shared" si="6"/>
        <v>250</v>
      </c>
      <c r="D18" s="790">
        <f t="shared" si="6"/>
        <v>250</v>
      </c>
      <c r="E18" s="790">
        <f t="shared" si="6"/>
        <v>0</v>
      </c>
      <c r="F18" s="790">
        <f t="shared" si="6"/>
        <v>0</v>
      </c>
      <c r="G18" s="790">
        <f t="shared" si="6"/>
        <v>0</v>
      </c>
      <c r="H18" s="790">
        <f t="shared" si="6"/>
        <v>0</v>
      </c>
      <c r="I18" s="791">
        <f t="shared" si="6"/>
        <v>0</v>
      </c>
      <c r="J18" s="10"/>
      <c r="K18" s="288">
        <f>SUM(B10:J10,B18:J18)</f>
        <v>10800</v>
      </c>
      <c r="O18" s="503"/>
    </row>
    <row r="19" spans="1:107" ht="8" thickTop="1" thickBot="1">
      <c r="A19" s="96" t="s">
        <v>143</v>
      </c>
      <c r="B19" s="358" t="s">
        <v>235</v>
      </c>
      <c r="C19" s="358" t="s">
        <v>235</v>
      </c>
      <c r="D19" s="358" t="s">
        <v>235</v>
      </c>
      <c r="E19" s="358" t="str">
        <f t="shared" ref="E19:I19" si="7">IF(E18=0,"","post bal.")</f>
        <v/>
      </c>
      <c r="F19" s="358" t="str">
        <f t="shared" si="7"/>
        <v/>
      </c>
      <c r="G19" s="358" t="str">
        <f t="shared" si="7"/>
        <v/>
      </c>
      <c r="H19" s="358" t="str">
        <f t="shared" si="7"/>
        <v/>
      </c>
      <c r="I19" s="358" t="str">
        <f t="shared" si="7"/>
        <v/>
      </c>
      <c r="J19" s="10"/>
      <c r="K19" s="238"/>
    </row>
    <row r="20" spans="1:107" s="870" customFormat="1" ht="8" hidden="1" thickTop="1" thickBot="1">
      <c r="B20" s="871">
        <f t="shared" ref="B20:J20" si="8">IF(B19="post bal.",B18,0)</f>
        <v>0</v>
      </c>
      <c r="C20" s="871">
        <f t="shared" si="8"/>
        <v>0</v>
      </c>
      <c r="D20" s="871">
        <f t="shared" si="8"/>
        <v>0</v>
      </c>
      <c r="E20" s="871">
        <f t="shared" si="8"/>
        <v>0</v>
      </c>
      <c r="F20" s="871">
        <f t="shared" si="8"/>
        <v>0</v>
      </c>
      <c r="G20" s="871">
        <f t="shared" si="8"/>
        <v>0</v>
      </c>
      <c r="H20" s="871">
        <f t="shared" si="8"/>
        <v>0</v>
      </c>
      <c r="I20" s="871">
        <f t="shared" si="8"/>
        <v>0</v>
      </c>
      <c r="J20" s="871">
        <f t="shared" si="8"/>
        <v>0</v>
      </c>
      <c r="K20" s="872">
        <f>SUM(B12:J12,B20:J20)</f>
        <v>0</v>
      </c>
    </row>
    <row r="21" spans="1:107" ht="7.5" thickTop="1"/>
    <row r="22" spans="1:107" ht="22.5">
      <c r="A22" s="799" t="str">
        <f>CONCATENATE("PROVISIONS FOR INCOME /EXPENSES OF YEAR ", Summary!$B$1)</f>
        <v>PROVISIONS FOR INCOME /EXPENSES OF YEAR 2021</v>
      </c>
      <c r="B22" s="26"/>
      <c r="C22" s="26"/>
      <c r="D22" s="36"/>
      <c r="E22" s="26"/>
      <c r="F22" s="26"/>
      <c r="G22" s="26"/>
      <c r="H22" s="26"/>
      <c r="I22" s="26"/>
      <c r="J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1:107" hidden="1"/>
    <row r="25" spans="1:107" ht="11" thickBot="1">
      <c r="A25" s="905" t="str">
        <f>CONCATENATE(" PAYMENTS TO BE MADE IN ",Summary!$B$1," PROVISIONED FROM ",Summary!$B$1-1)</f>
        <v xml:space="preserve"> PAYMENTS TO BE MADE IN 2021 PROVISIONED FROM 2020</v>
      </c>
      <c r="B25" s="906"/>
      <c r="C25" s="906"/>
      <c r="D25" s="906"/>
      <c r="E25" s="2"/>
      <c r="F25" s="2"/>
      <c r="G25" s="2"/>
    </row>
    <row r="26" spans="1:107" s="76" customFormat="1" ht="7.5" thickTop="1">
      <c r="A26" s="394" t="s">
        <v>142</v>
      </c>
      <c r="B26" s="541"/>
      <c r="C26" s="541"/>
      <c r="D26" s="398"/>
      <c r="E26" s="398"/>
      <c r="F26" s="510"/>
      <c r="G26" s="138" t="str">
        <f>G$49</f>
        <v xml:space="preserve">Actual </v>
      </c>
      <c r="H26" s="182" t="s">
        <v>85</v>
      </c>
      <c r="I26" s="136" t="s">
        <v>207</v>
      </c>
    </row>
    <row r="27" spans="1:107" s="76" customFormat="1" ht="7.5" thickBot="1">
      <c r="A27" s="399" t="s">
        <v>141</v>
      </c>
      <c r="B27" s="400">
        <v>44369</v>
      </c>
      <c r="C27" s="421"/>
      <c r="D27" s="400"/>
      <c r="E27" s="400"/>
      <c r="F27" s="401"/>
      <c r="G27" s="857" t="s">
        <v>207</v>
      </c>
      <c r="H27" s="183" t="s">
        <v>207</v>
      </c>
      <c r="I27" s="147" t="str">
        <f>I$50</f>
        <v>Shortfall</v>
      </c>
    </row>
    <row r="28" spans="1:107" s="76" customFormat="1" ht="14.5" thickTop="1">
      <c r="A28" s="859" t="s">
        <v>199</v>
      </c>
      <c r="B28" s="402">
        <v>6249.6</v>
      </c>
      <c r="C28" s="420"/>
      <c r="D28" s="402"/>
      <c r="E28" s="402"/>
      <c r="F28" s="402"/>
      <c r="G28" s="403">
        <f>SUM(B28:F28)</f>
        <v>6249.6</v>
      </c>
      <c r="H28" s="414">
        <v>6500</v>
      </c>
      <c r="I28" s="404">
        <f>H28-SUM(B28:F28)</f>
        <v>250.39999999999964</v>
      </c>
    </row>
    <row r="29" spans="1:107" s="76" customFormat="1">
      <c r="A29" s="824"/>
      <c r="B29" s="374"/>
      <c r="C29" s="374"/>
      <c r="D29" s="374"/>
      <c r="E29" s="374"/>
      <c r="F29" s="374"/>
      <c r="G29" s="405">
        <f>SUM(B29:F29)</f>
        <v>0</v>
      </c>
      <c r="H29" s="405"/>
      <c r="I29" s="407">
        <f>H29-SUM(B29:F29)</f>
        <v>0</v>
      </c>
    </row>
    <row r="30" spans="1:107" s="76" customFormat="1">
      <c r="A30" s="408"/>
      <c r="B30" s="374"/>
      <c r="C30" s="374"/>
      <c r="D30" s="374"/>
      <c r="E30" s="374"/>
      <c r="F30" s="374"/>
      <c r="G30" s="405">
        <f>SUM(B30:F30)</f>
        <v>0</v>
      </c>
      <c r="H30" s="406"/>
      <c r="I30" s="407">
        <f>H30-SUM(B30:F30)</f>
        <v>0</v>
      </c>
    </row>
    <row r="31" spans="1:107" s="76" customFormat="1">
      <c r="A31" s="824"/>
      <c r="B31" s="374"/>
      <c r="C31" s="374"/>
      <c r="D31" s="374"/>
      <c r="E31" s="374"/>
      <c r="F31" s="374"/>
      <c r="G31" s="405">
        <f>SUM(B31:F31)</f>
        <v>0</v>
      </c>
      <c r="H31" s="406"/>
      <c r="I31" s="407">
        <f>H31-SUM(B31:F31)</f>
        <v>0</v>
      </c>
    </row>
    <row r="32" spans="1:107" s="208" customFormat="1">
      <c r="A32" s="409"/>
      <c r="B32" s="410"/>
      <c r="C32" s="410"/>
      <c r="D32" s="410"/>
      <c r="E32" s="410"/>
      <c r="F32" s="410"/>
      <c r="G32" s="411">
        <f>SUM(B32:F32)</f>
        <v>0</v>
      </c>
      <c r="H32" s="412"/>
      <c r="I32" s="413">
        <f>H32-SUM(B32:F32)</f>
        <v>0</v>
      </c>
      <c r="L32" s="455"/>
    </row>
    <row r="33" spans="1:12" s="843" customFormat="1" ht="11" thickBot="1">
      <c r="A33" s="838" t="s">
        <v>262</v>
      </c>
      <c r="B33" s="839">
        <f t="shared" ref="B33:I33" si="9">SUM(B28:B32)</f>
        <v>6249.6</v>
      </c>
      <c r="C33" s="839">
        <f t="shared" si="9"/>
        <v>0</v>
      </c>
      <c r="D33" s="839">
        <f t="shared" si="9"/>
        <v>0</v>
      </c>
      <c r="E33" s="839">
        <f t="shared" si="9"/>
        <v>0</v>
      </c>
      <c r="F33" s="839">
        <f t="shared" si="9"/>
        <v>0</v>
      </c>
      <c r="G33" s="840">
        <f t="shared" si="9"/>
        <v>6249.6</v>
      </c>
      <c r="H33" s="841">
        <f t="shared" si="9"/>
        <v>6500</v>
      </c>
      <c r="I33" s="842">
        <f t="shared" si="9"/>
        <v>250.39999999999964</v>
      </c>
    </row>
    <row r="34" spans="1:12" ht="8" thickTop="1" thickBot="1">
      <c r="A34" s="823" t="s">
        <v>191</v>
      </c>
      <c r="B34" s="358" t="s">
        <v>235</v>
      </c>
      <c r="C34" s="358" t="str">
        <f t="shared" ref="C34" si="10">IF(C33=0,"","post bal.")</f>
        <v/>
      </c>
      <c r="D34" s="358" t="str">
        <f>IF(D33=0,"","post bal.")</f>
        <v/>
      </c>
      <c r="E34" s="358" t="str">
        <f>IF(E33=0,"","post bal.")</f>
        <v/>
      </c>
      <c r="F34" s="358" t="str">
        <f>IF(F33=0,"","post bal.")</f>
        <v/>
      </c>
      <c r="G34" s="214"/>
      <c r="H34" s="238"/>
      <c r="I34" s="238"/>
    </row>
    <row r="35" spans="1:12" s="193" customFormat="1" ht="7.5" hidden="1" thickTop="1">
      <c r="B35" s="868">
        <f>IF(B34="post bal.",B33,0)</f>
        <v>0</v>
      </c>
      <c r="C35" s="193">
        <f t="shared" ref="C35:F35" si="11">IF(C34="posrbal",C33,0)</f>
        <v>0</v>
      </c>
      <c r="D35" s="193">
        <f t="shared" si="11"/>
        <v>0</v>
      </c>
      <c r="E35" s="193">
        <f t="shared" si="11"/>
        <v>0</v>
      </c>
      <c r="F35" s="193">
        <f t="shared" si="11"/>
        <v>0</v>
      </c>
      <c r="K35" s="193">
        <f>SUM(B35:F35)</f>
        <v>0</v>
      </c>
    </row>
    <row r="36" spans="1:12" ht="7.5" thickTop="1"/>
    <row r="37" spans="1:12" ht="11" thickBot="1">
      <c r="A37" s="905" t="str">
        <f>CONCATENATE(" INCOME EXPECTED IN ",Summary!$B$1," PROVISIONED FROM ",Summary!$B$1-1)</f>
        <v xml:space="preserve"> INCOME EXPECTED IN 2021 PROVISIONED FROM 2020</v>
      </c>
      <c r="B37" s="906"/>
      <c r="C37" s="906"/>
      <c r="D37" s="906"/>
      <c r="E37" s="2"/>
      <c r="F37" s="2"/>
      <c r="G37" s="2"/>
    </row>
    <row r="38" spans="1:12" s="76" customFormat="1" ht="7.5" thickTop="1">
      <c r="A38" s="394" t="s">
        <v>142</v>
      </c>
      <c r="B38" s="541"/>
      <c r="C38" s="541"/>
      <c r="D38" s="398"/>
      <c r="E38" s="398"/>
      <c r="F38" s="510"/>
      <c r="G38" s="138" t="str">
        <f>G$49</f>
        <v xml:space="preserve">Actual </v>
      </c>
      <c r="H38" s="182" t="s">
        <v>85</v>
      </c>
      <c r="I38" s="136" t="s">
        <v>207</v>
      </c>
    </row>
    <row r="39" spans="1:12" s="76" customFormat="1" ht="7.5" thickBot="1">
      <c r="A39" s="399" t="s">
        <v>141</v>
      </c>
      <c r="B39" s="400"/>
      <c r="C39" s="421"/>
      <c r="D39" s="400"/>
      <c r="E39" s="400"/>
      <c r="F39" s="401"/>
      <c r="G39" s="857" t="s">
        <v>207</v>
      </c>
      <c r="H39" s="183" t="s">
        <v>207</v>
      </c>
      <c r="I39" s="147" t="str">
        <f>I$50</f>
        <v>Shortfall</v>
      </c>
    </row>
    <row r="40" spans="1:12" s="76" customFormat="1" ht="7.5" thickTop="1">
      <c r="A40" s="859"/>
      <c r="B40" s="402"/>
      <c r="C40" s="420"/>
      <c r="D40" s="402"/>
      <c r="E40" s="402"/>
      <c r="F40" s="402"/>
      <c r="G40" s="403">
        <f>SUM(B40:F40)</f>
        <v>0</v>
      </c>
      <c r="H40" s="414"/>
      <c r="I40" s="404">
        <f>H40-SUM(B40:F40)</f>
        <v>0</v>
      </c>
    </row>
    <row r="41" spans="1:12" s="76" customFormat="1">
      <c r="A41" s="824"/>
      <c r="B41" s="374"/>
      <c r="C41" s="374"/>
      <c r="D41" s="374"/>
      <c r="E41" s="374"/>
      <c r="F41" s="374"/>
      <c r="G41" s="405">
        <f>SUM(B41:F41)</f>
        <v>0</v>
      </c>
      <c r="H41" s="405"/>
      <c r="I41" s="407">
        <f>H41-SUM(B41:F41)</f>
        <v>0</v>
      </c>
    </row>
    <row r="42" spans="1:12" s="76" customFormat="1">
      <c r="A42" s="408"/>
      <c r="B42" s="374"/>
      <c r="C42" s="374"/>
      <c r="D42" s="374"/>
      <c r="E42" s="374"/>
      <c r="F42" s="374"/>
      <c r="G42" s="405">
        <f>SUM(B42:F42)</f>
        <v>0</v>
      </c>
      <c r="H42" s="406"/>
      <c r="I42" s="407">
        <f>H42-SUM(B42:F42)</f>
        <v>0</v>
      </c>
    </row>
    <row r="43" spans="1:12" s="76" customFormat="1">
      <c r="A43" s="824"/>
      <c r="B43" s="374"/>
      <c r="C43" s="374"/>
      <c r="D43" s="374"/>
      <c r="E43" s="374"/>
      <c r="F43" s="374"/>
      <c r="G43" s="405">
        <f>SUM(B43:F43)</f>
        <v>0</v>
      </c>
      <c r="H43" s="406"/>
      <c r="I43" s="407">
        <f>H43-SUM(B43:F43)</f>
        <v>0</v>
      </c>
    </row>
    <row r="44" spans="1:12" s="208" customFormat="1">
      <c r="A44" s="409"/>
      <c r="B44" s="410"/>
      <c r="C44" s="410"/>
      <c r="D44" s="410"/>
      <c r="E44" s="410"/>
      <c r="F44" s="410"/>
      <c r="G44" s="411">
        <f>SUM(B44:F44)</f>
        <v>0</v>
      </c>
      <c r="H44" s="412"/>
      <c r="I44" s="413">
        <f>H44-SUM(B44:F44)</f>
        <v>0</v>
      </c>
      <c r="L44" s="455"/>
    </row>
    <row r="45" spans="1:12" s="843" customFormat="1" ht="11" thickBot="1">
      <c r="A45" s="838" t="s">
        <v>82</v>
      </c>
      <c r="B45" s="839">
        <f t="shared" ref="B45:I45" si="12">SUM(B40:B44)</f>
        <v>0</v>
      </c>
      <c r="C45" s="839">
        <f t="shared" si="12"/>
        <v>0</v>
      </c>
      <c r="D45" s="839">
        <f t="shared" si="12"/>
        <v>0</v>
      </c>
      <c r="E45" s="839">
        <f t="shared" si="12"/>
        <v>0</v>
      </c>
      <c r="F45" s="839">
        <f t="shared" si="12"/>
        <v>0</v>
      </c>
      <c r="G45" s="840">
        <f t="shared" si="12"/>
        <v>0</v>
      </c>
      <c r="H45" s="841">
        <f t="shared" si="12"/>
        <v>0</v>
      </c>
      <c r="I45" s="842">
        <f t="shared" si="12"/>
        <v>0</v>
      </c>
    </row>
    <row r="46" spans="1:12" ht="8" thickTop="1" thickBot="1">
      <c r="A46" s="823" t="s">
        <v>191</v>
      </c>
      <c r="B46" s="358" t="str">
        <f t="shared" ref="B46:C46" si="13">IF(B45=0,"","post bal.")</f>
        <v/>
      </c>
      <c r="C46" s="358" t="str">
        <f t="shared" si="13"/>
        <v/>
      </c>
      <c r="D46" s="358" t="str">
        <f>IF(D45=0,"","post bal.")</f>
        <v/>
      </c>
      <c r="E46" s="358" t="str">
        <f>IF(E45=0,"","post bal.")</f>
        <v/>
      </c>
      <c r="F46" s="358" t="str">
        <f>IF(F45=0,"","post bal.")</f>
        <v/>
      </c>
      <c r="G46" s="214"/>
      <c r="H46" s="238"/>
      <c r="I46" s="238"/>
    </row>
    <row r="47" spans="1:12" s="193" customFormat="1" ht="7.5" thickTop="1">
      <c r="B47" s="868"/>
    </row>
    <row r="48" spans="1:12" ht="11" thickBot="1">
      <c r="A48" s="905" t="str">
        <f>CONCATENATE(" INCOME COMMITTED BUT NOT RECEIVED IN ",Summary!$B$1,", PROVISIONED FROM ",Summary!$B$1+1)</f>
        <v xml:space="preserve"> INCOME COMMITTED BUT NOT RECEIVED IN 2021, PROVISIONED FROM 2022</v>
      </c>
      <c r="B48" s="906"/>
      <c r="C48" s="906"/>
      <c r="D48" s="906"/>
      <c r="E48" s="906"/>
      <c r="F48" s="906"/>
      <c r="G48" s="906"/>
      <c r="H48" s="906"/>
      <c r="I48" s="906"/>
    </row>
    <row r="49" spans="1:12" ht="7.5" thickTop="1">
      <c r="A49" s="394" t="s">
        <v>142</v>
      </c>
      <c r="B49" s="850"/>
      <c r="C49" s="438" t="str">
        <f>IF(C48=0,"","post bal.")</f>
        <v/>
      </c>
      <c r="D49" s="439"/>
      <c r="E49" s="398"/>
      <c r="F49" s="510"/>
      <c r="G49" s="138" t="s">
        <v>84</v>
      </c>
      <c r="H49" s="137" t="s">
        <v>85</v>
      </c>
      <c r="I49" s="136" t="s">
        <v>87</v>
      </c>
    </row>
    <row r="50" spans="1:12" s="14" customFormat="1" ht="7.5" thickBot="1">
      <c r="A50" s="395" t="s">
        <v>141</v>
      </c>
      <c r="B50" s="851"/>
      <c r="C50" s="421"/>
      <c r="D50" s="421"/>
      <c r="E50" s="421"/>
      <c r="F50" s="440"/>
      <c r="G50" s="183" t="s">
        <v>87</v>
      </c>
      <c r="H50" s="183" t="s">
        <v>87</v>
      </c>
      <c r="I50" s="139" t="s">
        <v>86</v>
      </c>
    </row>
    <row r="51" spans="1:12" s="76" customFormat="1" ht="7.5" thickTop="1">
      <c r="A51" s="615"/>
      <c r="B51" s="852"/>
      <c r="C51" s="370"/>
      <c r="D51" s="370"/>
      <c r="E51" s="370"/>
      <c r="F51" s="441"/>
      <c r="G51" s="858">
        <f>SUM(B50:F51)</f>
        <v>0</v>
      </c>
      <c r="H51" s="414"/>
      <c r="I51" s="415">
        <f>H51-SUM(B51:F51)</f>
        <v>0</v>
      </c>
    </row>
    <row r="52" spans="1:12" s="76" customFormat="1">
      <c r="A52" s="397"/>
      <c r="B52" s="853"/>
      <c r="C52" s="420"/>
      <c r="D52" s="420"/>
      <c r="E52" s="420"/>
      <c r="F52" s="442"/>
      <c r="G52" s="405"/>
      <c r="H52" s="416"/>
      <c r="I52" s="407"/>
    </row>
    <row r="53" spans="1:12" s="76" customFormat="1">
      <c r="A53" s="397"/>
      <c r="B53" s="853"/>
      <c r="C53" s="420"/>
      <c r="D53" s="420"/>
      <c r="E53" s="420"/>
      <c r="F53" s="442"/>
      <c r="G53" s="405"/>
      <c r="H53" s="416"/>
      <c r="I53" s="407"/>
    </row>
    <row r="54" spans="1:12" s="76" customFormat="1">
      <c r="A54" s="509"/>
      <c r="B54" s="853"/>
      <c r="C54" s="420"/>
      <c r="D54" s="420"/>
      <c r="E54" s="420"/>
      <c r="F54" s="442"/>
      <c r="G54" s="405"/>
      <c r="H54" s="416"/>
      <c r="I54" s="407"/>
    </row>
    <row r="55" spans="1:12" s="76" customFormat="1">
      <c r="A55" s="509"/>
      <c r="B55" s="854"/>
      <c r="C55" s="374"/>
      <c r="D55" s="374"/>
      <c r="E55" s="374"/>
      <c r="F55" s="443"/>
      <c r="G55" s="405">
        <f>SUM(B55:F55)</f>
        <v>0</v>
      </c>
      <c r="H55" s="416"/>
      <c r="I55" s="407">
        <f>H55-SUM(B55:F55)</f>
        <v>0</v>
      </c>
    </row>
    <row r="56" spans="1:12" s="76" customFormat="1" ht="7.5" thickBot="1">
      <c r="A56" s="396"/>
      <c r="B56" s="855"/>
      <c r="C56" s="444"/>
      <c r="D56" s="444"/>
      <c r="E56" s="444"/>
      <c r="F56" s="445"/>
      <c r="G56" s="417">
        <f>SUM(B56:F56)</f>
        <v>0</v>
      </c>
      <c r="H56" s="418"/>
      <c r="I56" s="419"/>
    </row>
    <row r="57" spans="1:12" s="76" customFormat="1" ht="11.5" thickTop="1" thickBot="1">
      <c r="A57" s="386" t="s">
        <v>82</v>
      </c>
      <c r="B57" s="174">
        <f t="shared" ref="B57:I57" si="14">SUM(B51:B56)</f>
        <v>0</v>
      </c>
      <c r="C57" s="174">
        <f t="shared" si="14"/>
        <v>0</v>
      </c>
      <c r="D57" s="174">
        <f t="shared" si="14"/>
        <v>0</v>
      </c>
      <c r="E57" s="174">
        <f t="shared" si="14"/>
        <v>0</v>
      </c>
      <c r="F57" s="174">
        <f t="shared" si="14"/>
        <v>0</v>
      </c>
      <c r="G57" s="387">
        <f t="shared" si="14"/>
        <v>0</v>
      </c>
      <c r="H57" s="388">
        <f t="shared" si="14"/>
        <v>0</v>
      </c>
      <c r="I57" s="389">
        <f t="shared" si="14"/>
        <v>0</v>
      </c>
    </row>
    <row r="58" spans="1:12" s="97" customFormat="1" ht="8" thickTop="1" thickBot="1">
      <c r="A58" s="96" t="s">
        <v>143</v>
      </c>
      <c r="B58" s="856" t="str">
        <f>IF(B57=0,"","post bal.")</f>
        <v/>
      </c>
      <c r="C58" s="358" t="str">
        <f>IF(C57=0,"","post bal.")</f>
        <v/>
      </c>
      <c r="D58" s="358" t="str">
        <f>IF(D57=0,"","post bal.")</f>
        <v/>
      </c>
      <c r="E58" s="358" t="str">
        <f>IF(E57=0,"","post bal.")</f>
        <v/>
      </c>
      <c r="F58" s="358" t="str">
        <f>IF(F57=0,"","post bal.")</f>
        <v/>
      </c>
      <c r="G58" s="99"/>
      <c r="H58" s="149"/>
      <c r="I58" s="149"/>
      <c r="L58" s="311">
        <f>SUM(B59:H59)</f>
        <v>0</v>
      </c>
    </row>
    <row r="59" spans="1:12" s="266" customFormat="1" ht="7.5" hidden="1" thickTop="1">
      <c r="A59" s="286"/>
      <c r="B59" s="286">
        <f>IF(OR(B58="post bal.",B58="Carried fwd"),B57,0)</f>
        <v>0</v>
      </c>
      <c r="C59" s="286">
        <f>IF(C58="post bal.",C57,0)</f>
        <v>0</v>
      </c>
      <c r="D59" s="286">
        <f>IF(OR(D58="post bal.",D58="Carried fwd"),D57,0)</f>
        <v>0</v>
      </c>
      <c r="E59" s="286">
        <f>IF(OR(E58="post bal.",E58="Carried fwd"),E57,0)</f>
        <v>0</v>
      </c>
      <c r="F59" s="286">
        <f>IF(OR(F58="post bal.",F58="Carried fwd"),F57,0)</f>
        <v>0</v>
      </c>
      <c r="G59" s="267">
        <f>IF(G58="post bal.",G57,0)</f>
        <v>0</v>
      </c>
    </row>
    <row r="60" spans="1:12" ht="7.5" thickTop="1"/>
    <row r="61" spans="1:12" ht="11" thickBot="1">
      <c r="A61" s="905" t="str">
        <f>CONCATENATE(" INCOME RECEIVED IN ",Summary!$B$1," EARLY, PROVISIONED INTO ",Summary!$B$1+1)</f>
        <v xml:space="preserve"> INCOME RECEIVED IN 2021 EARLY, PROVISIONED INTO 2022</v>
      </c>
      <c r="B61" s="906"/>
      <c r="C61" s="906"/>
      <c r="D61" s="906"/>
      <c r="E61" s="2"/>
      <c r="F61" s="2"/>
      <c r="G61" s="2"/>
    </row>
    <row r="62" spans="1:12" ht="7.5" thickTop="1">
      <c r="A62" s="394" t="s">
        <v>142</v>
      </c>
      <c r="B62" s="541" t="s">
        <v>259</v>
      </c>
      <c r="C62" s="541"/>
      <c r="D62" s="398"/>
      <c r="E62" s="398"/>
      <c r="F62" s="510"/>
      <c r="G62" s="138" t="str">
        <f>G$49</f>
        <v xml:space="preserve">Actual </v>
      </c>
      <c r="H62" s="182" t="s">
        <v>85</v>
      </c>
      <c r="I62" s="136" t="s">
        <v>207</v>
      </c>
    </row>
    <row r="63" spans="1:12" ht="7.5" thickBot="1">
      <c r="A63" s="399" t="s">
        <v>141</v>
      </c>
      <c r="B63" s="400"/>
      <c r="C63" s="421"/>
      <c r="D63" s="400"/>
      <c r="E63" s="400"/>
      <c r="F63" s="401"/>
      <c r="G63" s="148" t="s">
        <v>207</v>
      </c>
      <c r="H63" s="183" t="s">
        <v>207</v>
      </c>
      <c r="I63" s="147" t="str">
        <f>I$50</f>
        <v>Shortfall</v>
      </c>
    </row>
    <row r="64" spans="1:12" ht="7.5" thickTop="1">
      <c r="A64" s="615" t="s">
        <v>260</v>
      </c>
      <c r="B64" s="402">
        <v>50</v>
      </c>
      <c r="C64" s="420"/>
      <c r="D64" s="402"/>
      <c r="E64" s="402"/>
      <c r="F64" s="402"/>
      <c r="G64" s="403">
        <f>SUM(B64:F64)</f>
        <v>50</v>
      </c>
      <c r="H64" s="403">
        <f>G64</f>
        <v>50</v>
      </c>
      <c r="I64" s="404">
        <f>H64-SUM(B64:F64)</f>
        <v>0</v>
      </c>
    </row>
    <row r="65" spans="1:16">
      <c r="A65" s="824"/>
      <c r="B65" s="374"/>
      <c r="C65" s="374"/>
      <c r="D65" s="374"/>
      <c r="E65" s="374"/>
      <c r="F65" s="374"/>
      <c r="G65" s="405">
        <f>SUM(B65:F65)</f>
        <v>0</v>
      </c>
      <c r="H65" s="405">
        <f t="shared" ref="H65:H68" si="15">G65</f>
        <v>0</v>
      </c>
      <c r="I65" s="407">
        <f>H65-SUM(B65:F65)</f>
        <v>0</v>
      </c>
    </row>
    <row r="66" spans="1:16">
      <c r="A66" s="408"/>
      <c r="B66" s="374"/>
      <c r="C66" s="374"/>
      <c r="D66" s="374"/>
      <c r="E66" s="374"/>
      <c r="F66" s="374"/>
      <c r="G66" s="405">
        <f>SUM(B66:F66)</f>
        <v>0</v>
      </c>
      <c r="H66" s="406">
        <f t="shared" si="15"/>
        <v>0</v>
      </c>
      <c r="I66" s="407">
        <f>H66-SUM(B66:F66)</f>
        <v>0</v>
      </c>
    </row>
    <row r="67" spans="1:16">
      <c r="A67" s="824"/>
      <c r="B67" s="374"/>
      <c r="C67" s="374"/>
      <c r="D67" s="374"/>
      <c r="E67" s="374"/>
      <c r="F67" s="374"/>
      <c r="G67" s="405">
        <f>SUM(B67:F67)</f>
        <v>0</v>
      </c>
      <c r="H67" s="406">
        <f t="shared" si="15"/>
        <v>0</v>
      </c>
      <c r="I67" s="407">
        <f>H67-SUM(B67:F67)</f>
        <v>0</v>
      </c>
    </row>
    <row r="68" spans="1:16">
      <c r="A68" s="409"/>
      <c r="B68" s="410"/>
      <c r="C68" s="410"/>
      <c r="D68" s="410"/>
      <c r="E68" s="410"/>
      <c r="F68" s="410"/>
      <c r="G68" s="411">
        <f>SUM(B68:F68)</f>
        <v>0</v>
      </c>
      <c r="H68" s="412">
        <f t="shared" si="15"/>
        <v>0</v>
      </c>
      <c r="I68" s="413">
        <f>H68-SUM(B68:F68)</f>
        <v>0</v>
      </c>
    </row>
    <row r="69" spans="1:16" ht="11" thickBot="1">
      <c r="A69" s="143" t="s">
        <v>261</v>
      </c>
      <c r="B69" s="144">
        <f t="shared" ref="B69:I69" si="16">SUM(B64:B68)</f>
        <v>50</v>
      </c>
      <c r="C69" s="144">
        <f t="shared" si="16"/>
        <v>0</v>
      </c>
      <c r="D69" s="144">
        <f t="shared" si="16"/>
        <v>0</v>
      </c>
      <c r="E69" s="144">
        <f t="shared" si="16"/>
        <v>0</v>
      </c>
      <c r="F69" s="144">
        <f t="shared" si="16"/>
        <v>0</v>
      </c>
      <c r="G69" s="145">
        <f t="shared" si="16"/>
        <v>50</v>
      </c>
      <c r="H69" s="184">
        <f t="shared" si="16"/>
        <v>50</v>
      </c>
      <c r="I69" s="146">
        <f t="shared" si="16"/>
        <v>0</v>
      </c>
    </row>
    <row r="70" spans="1:16" ht="8" thickTop="1" thickBot="1">
      <c r="A70" s="823" t="s">
        <v>191</v>
      </c>
      <c r="B70" s="358" t="s">
        <v>235</v>
      </c>
      <c r="C70" s="358" t="str">
        <f t="shared" ref="C70" si="17">IF(C69=0,"","post bal.")</f>
        <v/>
      </c>
      <c r="D70" s="358" t="str">
        <f>IF(D69=0,"","post bal.")</f>
        <v/>
      </c>
      <c r="E70" s="358" t="str">
        <f>IF(E69=0,"","post bal.")</f>
        <v/>
      </c>
      <c r="F70" s="358" t="str">
        <f>IF(F69=0,"","post bal.")</f>
        <v/>
      </c>
      <c r="G70" s="214"/>
      <c r="H70" s="238"/>
      <c r="I70" s="238"/>
    </row>
    <row r="71" spans="1:16" ht="7.5" thickTop="1"/>
    <row r="72" spans="1:16" ht="11" thickBot="1">
      <c r="A72" s="905" t="str">
        <f>CONCATENATE(" PAYMENTS MADE IN ",Summary!$B$1," EARLY, PROVISIONED FROM ",Summary!$B$1+1)</f>
        <v xml:space="preserve"> PAYMENTS MADE IN 2021 EARLY, PROVISIONED FROM 2022</v>
      </c>
      <c r="B72" s="906"/>
      <c r="C72" s="906"/>
      <c r="D72" s="906"/>
      <c r="E72" s="2"/>
      <c r="F72" s="2"/>
      <c r="G72" s="2"/>
    </row>
    <row r="73" spans="1:16" ht="7.5" thickTop="1">
      <c r="A73" s="394" t="s">
        <v>142</v>
      </c>
      <c r="B73" s="541"/>
      <c r="C73" s="541"/>
      <c r="D73" s="398"/>
      <c r="E73" s="398"/>
      <c r="F73" s="510"/>
      <c r="G73" s="138" t="str">
        <f>G$49</f>
        <v xml:space="preserve">Actual </v>
      </c>
      <c r="H73" s="182" t="s">
        <v>85</v>
      </c>
      <c r="I73" s="136" t="s">
        <v>207</v>
      </c>
      <c r="P73" s="328"/>
    </row>
    <row r="74" spans="1:16" ht="7.5" thickBot="1">
      <c r="A74" s="399" t="s">
        <v>141</v>
      </c>
      <c r="B74" s="400"/>
      <c r="C74" s="421"/>
      <c r="D74" s="400"/>
      <c r="E74" s="400"/>
      <c r="F74" s="401"/>
      <c r="G74" s="148" t="s">
        <v>207</v>
      </c>
      <c r="H74" s="183" t="s">
        <v>207</v>
      </c>
      <c r="I74" s="147" t="str">
        <f>I$50</f>
        <v>Shortfall</v>
      </c>
    </row>
    <row r="75" spans="1:16" ht="7.5" thickTop="1">
      <c r="A75" s="615"/>
      <c r="B75" s="402"/>
      <c r="C75" s="420"/>
      <c r="D75" s="402"/>
      <c r="E75" s="402"/>
      <c r="F75" s="402"/>
      <c r="G75" s="403">
        <f>SUM(B75:F75)</f>
        <v>0</v>
      </c>
      <c r="H75" s="403">
        <f t="shared" ref="H75:H79" si="18">G75</f>
        <v>0</v>
      </c>
      <c r="I75" s="404">
        <f>H75-SUM(B75:F75)</f>
        <v>0</v>
      </c>
    </row>
    <row r="76" spans="1:16">
      <c r="A76" s="824"/>
      <c r="B76" s="374"/>
      <c r="C76" s="374"/>
      <c r="D76" s="374"/>
      <c r="E76" s="374"/>
      <c r="F76" s="374"/>
      <c r="G76" s="405">
        <f>SUM(B76:F76)</f>
        <v>0</v>
      </c>
      <c r="H76" s="405">
        <f t="shared" si="18"/>
        <v>0</v>
      </c>
      <c r="I76" s="407">
        <f>H76-SUM(B76:F76)</f>
        <v>0</v>
      </c>
    </row>
    <row r="77" spans="1:16">
      <c r="A77" s="408"/>
      <c r="B77" s="374"/>
      <c r="C77" s="374"/>
      <c r="D77" s="374"/>
      <c r="E77" s="374"/>
      <c r="F77" s="374"/>
      <c r="G77" s="405">
        <f>SUM(B77:F77)</f>
        <v>0</v>
      </c>
      <c r="H77" s="406">
        <f t="shared" si="18"/>
        <v>0</v>
      </c>
      <c r="I77" s="407">
        <f>H77-SUM(B77:F77)</f>
        <v>0</v>
      </c>
    </row>
    <row r="78" spans="1:16">
      <c r="A78" s="824"/>
      <c r="B78" s="374"/>
      <c r="C78" s="374"/>
      <c r="D78" s="374"/>
      <c r="E78" s="374"/>
      <c r="F78" s="374"/>
      <c r="G78" s="405">
        <f>SUM(B78:F78)</f>
        <v>0</v>
      </c>
      <c r="H78" s="406">
        <f t="shared" si="18"/>
        <v>0</v>
      </c>
      <c r="I78" s="407">
        <f>H78-SUM(B78:F78)</f>
        <v>0</v>
      </c>
    </row>
    <row r="79" spans="1:16">
      <c r="A79" s="409"/>
      <c r="B79" s="410"/>
      <c r="C79" s="410"/>
      <c r="D79" s="410"/>
      <c r="E79" s="410"/>
      <c r="F79" s="410"/>
      <c r="G79" s="411">
        <f>SUM(B79:F79)</f>
        <v>0</v>
      </c>
      <c r="H79" s="412">
        <f t="shared" si="18"/>
        <v>0</v>
      </c>
      <c r="I79" s="413">
        <f>H79-SUM(B79:F79)</f>
        <v>0</v>
      </c>
    </row>
    <row r="80" spans="1:16" ht="11" thickBot="1">
      <c r="A80" s="143" t="s">
        <v>262</v>
      </c>
      <c r="B80" s="144">
        <f t="shared" ref="B80:I80" si="19">SUM(B75:B79)</f>
        <v>0</v>
      </c>
      <c r="C80" s="144">
        <f t="shared" si="19"/>
        <v>0</v>
      </c>
      <c r="D80" s="144">
        <f t="shared" si="19"/>
        <v>0</v>
      </c>
      <c r="E80" s="144">
        <f t="shared" si="19"/>
        <v>0</v>
      </c>
      <c r="F80" s="144">
        <f t="shared" si="19"/>
        <v>0</v>
      </c>
      <c r="G80" s="145">
        <f t="shared" si="19"/>
        <v>0</v>
      </c>
      <c r="H80" s="184">
        <f t="shared" si="19"/>
        <v>0</v>
      </c>
      <c r="I80" s="146">
        <f t="shared" si="19"/>
        <v>0</v>
      </c>
    </row>
    <row r="81" spans="1:16" ht="8" thickTop="1" thickBot="1">
      <c r="A81" s="823" t="s">
        <v>191</v>
      </c>
      <c r="B81" s="358" t="str">
        <f t="shared" ref="B81:C81" si="20">IF(B80=0,"","post bal.")</f>
        <v/>
      </c>
      <c r="C81" s="358" t="str">
        <f t="shared" si="20"/>
        <v/>
      </c>
      <c r="D81" s="358" t="str">
        <f>IF(D80=0,"","post bal.")</f>
        <v/>
      </c>
      <c r="E81" s="358" t="str">
        <f>IF(E80=0,"","post bal.")</f>
        <v/>
      </c>
      <c r="F81" s="358" t="str">
        <f>IF(F80=0,"","post bal.")</f>
        <v/>
      </c>
      <c r="G81" s="214"/>
      <c r="H81" s="238"/>
      <c r="I81" s="238"/>
    </row>
    <row r="82" spans="1:16" s="2" customFormat="1" ht="7.5" hidden="1" thickTop="1">
      <c r="B82" s="869">
        <f t="shared" ref="B82:F82" si="21">IF(B81="post bal.",B80,0)</f>
        <v>0</v>
      </c>
      <c r="C82" s="869">
        <f t="shared" si="21"/>
        <v>0</v>
      </c>
      <c r="D82" s="869">
        <f t="shared" si="21"/>
        <v>0</v>
      </c>
      <c r="E82" s="869">
        <f t="shared" si="21"/>
        <v>0</v>
      </c>
      <c r="F82" s="869">
        <f t="shared" si="21"/>
        <v>0</v>
      </c>
      <c r="K82" s="2">
        <f>SUM(B82:F82)</f>
        <v>0</v>
      </c>
    </row>
    <row r="83" spans="1:16" s="2" customFormat="1" ht="7.5" hidden="1" thickTop="1">
      <c r="B83" s="869">
        <f>IF(B70="post bal.",B69,0)</f>
        <v>0</v>
      </c>
      <c r="C83" s="869">
        <f>IF(C70="post bal.",C69,0)</f>
        <v>0</v>
      </c>
      <c r="D83" s="869">
        <f>IF(D70="post bal.",D69,0)</f>
        <v>0</v>
      </c>
      <c r="E83" s="869">
        <f>IF(E70="post bal.",E69,0)</f>
        <v>0</v>
      </c>
      <c r="F83" s="869">
        <f>IF(F70="post bal.",F69,0)</f>
        <v>0</v>
      </c>
      <c r="K83" s="2">
        <f>SUM(B83:F83)+K20-K82-K35</f>
        <v>0</v>
      </c>
    </row>
    <row r="84" spans="1:16" ht="7.5" thickTop="1"/>
    <row r="85" spans="1:16" ht="11" thickBot="1">
      <c r="A85" s="905" t="str">
        <f>CONCATENATE(" PAYMENTS COMMITTED IN ",Summary!$B$1," PROVISIONED INTO ",Summary!$B$1+1)</f>
        <v xml:space="preserve"> PAYMENTS COMMITTED IN 2021 PROVISIONED INTO 2022</v>
      </c>
      <c r="B85" s="906"/>
      <c r="C85" s="906"/>
      <c r="D85" s="906"/>
      <c r="E85" s="2"/>
      <c r="F85" s="2"/>
      <c r="G85" s="2"/>
    </row>
    <row r="86" spans="1:16" ht="7.5" thickTop="1">
      <c r="A86" s="394" t="s">
        <v>142</v>
      </c>
      <c r="B86" s="541"/>
      <c r="C86" s="541"/>
      <c r="D86" s="398"/>
      <c r="E86" s="398"/>
      <c r="F86" s="510"/>
      <c r="G86" s="138" t="str">
        <f>G$49</f>
        <v xml:space="preserve">Actual </v>
      </c>
      <c r="H86" s="182" t="s">
        <v>85</v>
      </c>
      <c r="I86" s="136" t="s">
        <v>207</v>
      </c>
      <c r="P86" s="328"/>
    </row>
    <row r="87" spans="1:16" ht="7.5" thickBot="1">
      <c r="A87" s="399" t="s">
        <v>141</v>
      </c>
      <c r="B87" s="400"/>
      <c r="C87" s="421"/>
      <c r="D87" s="400"/>
      <c r="E87" s="400"/>
      <c r="F87" s="401"/>
      <c r="G87" s="148" t="s">
        <v>207</v>
      </c>
      <c r="H87" s="183" t="s">
        <v>207</v>
      </c>
      <c r="I87" s="147" t="str">
        <f>I$50</f>
        <v>Shortfall</v>
      </c>
    </row>
    <row r="88" spans="1:16" ht="7.5" thickTop="1">
      <c r="A88" s="615" t="s">
        <v>269</v>
      </c>
      <c r="B88" s="402"/>
      <c r="C88" s="420"/>
      <c r="D88" s="402"/>
      <c r="E88" s="402"/>
      <c r="F88" s="402"/>
      <c r="G88" s="403">
        <f>SUM(B88:F88)</f>
        <v>0</v>
      </c>
      <c r="H88" s="403">
        <v>75</v>
      </c>
      <c r="I88" s="404">
        <f>H88-SUM(B88:F88)</f>
        <v>75</v>
      </c>
    </row>
    <row r="89" spans="1:16">
      <c r="A89" s="824"/>
      <c r="B89" s="374"/>
      <c r="C89" s="374"/>
      <c r="D89" s="374"/>
      <c r="E89" s="374"/>
      <c r="F89" s="374"/>
      <c r="G89" s="405">
        <f>SUM(B89:F89)</f>
        <v>0</v>
      </c>
      <c r="H89" s="405">
        <f t="shared" ref="H89:H92" si="22">G89</f>
        <v>0</v>
      </c>
      <c r="I89" s="407">
        <f>H89-SUM(B89:F89)</f>
        <v>0</v>
      </c>
    </row>
    <row r="90" spans="1:16">
      <c r="A90" s="408"/>
      <c r="B90" s="374"/>
      <c r="C90" s="374"/>
      <c r="D90" s="374"/>
      <c r="E90" s="374"/>
      <c r="F90" s="374"/>
      <c r="G90" s="405">
        <f>SUM(B90:F90)</f>
        <v>0</v>
      </c>
      <c r="H90" s="406">
        <f t="shared" si="22"/>
        <v>0</v>
      </c>
      <c r="I90" s="407">
        <f>H90-SUM(B90:F90)</f>
        <v>0</v>
      </c>
    </row>
    <row r="91" spans="1:16">
      <c r="A91" s="824"/>
      <c r="B91" s="374"/>
      <c r="C91" s="374"/>
      <c r="D91" s="374"/>
      <c r="E91" s="374"/>
      <c r="F91" s="374"/>
      <c r="G91" s="405">
        <f>SUM(B91:F91)</f>
        <v>0</v>
      </c>
      <c r="H91" s="406">
        <f t="shared" si="22"/>
        <v>0</v>
      </c>
      <c r="I91" s="407">
        <f>H91-SUM(B91:F91)</f>
        <v>0</v>
      </c>
    </row>
    <row r="92" spans="1:16">
      <c r="A92" s="409"/>
      <c r="B92" s="410"/>
      <c r="C92" s="410"/>
      <c r="D92" s="410"/>
      <c r="E92" s="410"/>
      <c r="F92" s="410"/>
      <c r="G92" s="411">
        <f>SUM(B92:F92)</f>
        <v>0</v>
      </c>
      <c r="H92" s="412">
        <f t="shared" si="22"/>
        <v>0</v>
      </c>
      <c r="I92" s="413">
        <f>H92-SUM(B92:F92)</f>
        <v>0</v>
      </c>
    </row>
    <row r="93" spans="1:16" ht="11" thickBot="1">
      <c r="A93" s="143" t="s">
        <v>83</v>
      </c>
      <c r="B93" s="144">
        <f t="shared" ref="B93:I93" si="23">SUM(B88:B92)</f>
        <v>0</v>
      </c>
      <c r="C93" s="144">
        <f t="shared" si="23"/>
        <v>0</v>
      </c>
      <c r="D93" s="144">
        <f t="shared" si="23"/>
        <v>0</v>
      </c>
      <c r="E93" s="144">
        <f t="shared" si="23"/>
        <v>0</v>
      </c>
      <c r="F93" s="144">
        <f t="shared" si="23"/>
        <v>0</v>
      </c>
      <c r="G93" s="145">
        <f t="shared" si="23"/>
        <v>0</v>
      </c>
      <c r="H93" s="184">
        <f t="shared" si="23"/>
        <v>75</v>
      </c>
      <c r="I93" s="146">
        <f t="shared" si="23"/>
        <v>75</v>
      </c>
    </row>
    <row r="94" spans="1:16" ht="8" thickTop="1" thickBot="1">
      <c r="A94" s="823" t="s">
        <v>191</v>
      </c>
      <c r="B94" s="358" t="str">
        <f t="shared" ref="B94:C94" si="24">IF(B93=0,"","post bal.")</f>
        <v/>
      </c>
      <c r="C94" s="358" t="str">
        <f t="shared" si="24"/>
        <v/>
      </c>
      <c r="D94" s="358" t="str">
        <f>IF(D93=0,"","post bal.")</f>
        <v/>
      </c>
      <c r="E94" s="358" t="str">
        <f>IF(E93=0,"","post bal.")</f>
        <v/>
      </c>
      <c r="F94" s="358" t="str">
        <f>IF(F93=0,"","post bal.")</f>
        <v/>
      </c>
      <c r="G94" s="214"/>
      <c r="H94" s="238"/>
      <c r="I94" s="238"/>
    </row>
    <row r="95" spans="1:16" ht="7.5" thickTop="1"/>
  </sheetData>
  <mergeCells count="6">
    <mergeCell ref="A85:D85"/>
    <mergeCell ref="A72:D72"/>
    <mergeCell ref="A25:D25"/>
    <mergeCell ref="A37:D37"/>
    <mergeCell ref="A61:D61"/>
    <mergeCell ref="A48:I48"/>
  </mergeCells>
  <phoneticPr fontId="9" type="noConversion"/>
  <pageMargins left="0.35433070866141736" right="0.35433070866141736" top="0.27559055118110237" bottom="0.27559055118110237" header="0" footer="0.27559055118110237"/>
  <pageSetup paperSize="9" orientation="portrait" verticalDpi="4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Di's Summary</vt:lpstr>
      <vt:lpstr>Summary</vt:lpstr>
      <vt:lpstr>TRIP_ACCOUNTS</vt:lpstr>
      <vt:lpstr>MAINTENANCE</vt:lpstr>
      <vt:lpstr>LATE BANKING</vt:lpstr>
      <vt:lpstr>OTHER COSTS</vt:lpstr>
      <vt:lpstr>PROVISIONS &amp; SUBS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2022-01-17T17:00:39Z</cp:lastPrinted>
  <dcterms:created xsi:type="dcterms:W3CDTF">2001-11-01T11:07:00Z</dcterms:created>
  <dcterms:modified xsi:type="dcterms:W3CDTF">2022-02-06T13:46:45Z</dcterms:modified>
</cp:coreProperties>
</file>