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10" yWindow="-110" windowWidth="19420" windowHeight="10420" firstSheet="1" activeTab="2"/>
  </bookViews>
  <sheets>
    <sheet name="BUDGET" sheetId="2" state="hidden" r:id="rId1"/>
    <sheet name="Averages over 4 years" sheetId="3" r:id="rId2"/>
    <sheet name="2021" sheetId="4" r:id="rId3"/>
    <sheet name="2022" sheetId="5" r:id="rId4"/>
    <sheet name="2023" sheetId="6" r:id="rId5"/>
  </sheets>
  <externalReferences>
    <externalReference r:id="rId6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4"/>
  <c r="B11" l="1"/>
  <c r="B20" i="6" l="1"/>
  <c r="B5" s="1"/>
  <c r="B20" i="5"/>
  <c r="B5" s="1"/>
  <c r="B19" i="4"/>
  <c r="B5" s="1"/>
  <c r="F10" l="1"/>
  <c r="E5" l="1"/>
  <c r="G16" i="2"/>
  <c r="G12" i="4"/>
  <c r="B6" i="6"/>
  <c r="E5"/>
  <c r="B6" i="5"/>
  <c r="E5"/>
  <c r="B6" i="4"/>
  <c r="B10" s="1"/>
  <c r="G17" l="1"/>
  <c r="E6" i="2"/>
  <c r="B7"/>
  <c r="G14"/>
  <c r="G15" i="4" l="1"/>
  <c r="G11" i="5"/>
  <c r="G11" i="6"/>
  <c r="G18" i="2"/>
  <c r="F11" i="3"/>
  <c r="E11"/>
  <c r="D11"/>
  <c r="E25" i="5" l="1"/>
  <c r="E18" s="1"/>
  <c r="E7" s="1"/>
  <c r="E25" i="6"/>
  <c r="E18" s="1"/>
  <c r="E7" s="1"/>
  <c r="E24" i="4"/>
  <c r="E17" s="1"/>
  <c r="E7" s="1"/>
  <c r="E26" i="2"/>
  <c r="E27" i="6"/>
  <c r="E17" s="1"/>
  <c r="E8" s="1"/>
  <c r="E27" i="5"/>
  <c r="E17" s="1"/>
  <c r="E8" s="1"/>
  <c r="E28" i="2"/>
  <c r="E26" i="4"/>
  <c r="E16" s="1"/>
  <c r="E8" s="1"/>
  <c r="E24" i="5"/>
  <c r="E6" s="1"/>
  <c r="E24" i="6"/>
  <c r="E6" s="1"/>
  <c r="E23" i="4"/>
  <c r="E6" s="1"/>
  <c r="E10" s="1"/>
  <c r="E25" i="2"/>
  <c r="E7" s="1"/>
  <c r="C8" i="3"/>
  <c r="C11" s="1"/>
  <c r="B8"/>
  <c r="B11" s="1"/>
  <c r="E10" i="5" l="1"/>
  <c r="B7" s="1"/>
  <c r="E10" i="6"/>
  <c r="E8" i="2"/>
  <c r="E19"/>
  <c r="E18"/>
  <c r="E9" s="1"/>
  <c r="B10" i="5" l="1"/>
  <c r="G19" i="4"/>
  <c r="G13" i="5"/>
  <c r="G15" s="1"/>
  <c r="B7" i="6" s="1"/>
  <c r="E11" i="2"/>
  <c r="F20" i="4" l="1"/>
  <c r="B10" i="6"/>
  <c r="B8" i="2"/>
  <c r="G13" i="6"/>
  <c r="G15" s="1"/>
  <c r="E13" i="2"/>
  <c r="E14" s="1"/>
  <c r="E13" i="4"/>
  <c r="B12" s="1"/>
  <c r="G20" i="2" l="1"/>
  <c r="F21" s="1"/>
  <c r="B11"/>
  <c r="B13" s="1"/>
  <c r="B14" s="1"/>
  <c r="B13" i="4"/>
  <c r="E12" i="5"/>
  <c r="E13" s="1"/>
  <c r="B12" s="1"/>
  <c r="B13" l="1"/>
  <c r="E12" i="6"/>
  <c r="E13" s="1"/>
  <c r="B12" s="1"/>
  <c r="B13" s="1"/>
</calcChain>
</file>

<file path=xl/sharedStrings.xml><?xml version="1.0" encoding="utf-8"?>
<sst xmlns="http://schemas.openxmlformats.org/spreadsheetml/2006/main" count="246" uniqueCount="78">
  <si>
    <t>Estimated OutGoings</t>
  </si>
  <si>
    <t>Estimated Income</t>
  </si>
  <si>
    <t>Moorings Insurance &amp; Licence</t>
  </si>
  <si>
    <t>Shares</t>
  </si>
  <si>
    <t>Scheduled Maintenance</t>
  </si>
  <si>
    <t>NPs</t>
  </si>
  <si>
    <t>Daily income (net of costs)</t>
  </si>
  <si>
    <t>Unplanned / Emergencies</t>
  </si>
  <si>
    <t>Trip income (net of costs)</t>
  </si>
  <si>
    <t>Gifts/donations</t>
  </si>
  <si>
    <t>Year Outgoings</t>
  </si>
  <si>
    <t>Year Income</t>
  </si>
  <si>
    <t>Gross Outgoings</t>
  </si>
  <si>
    <t>Gross income</t>
  </si>
  <si>
    <t>Winter Moorings</t>
  </si>
  <si>
    <t>NP daily rate</t>
  </si>
  <si>
    <t>Occasional moorings</t>
  </si>
  <si>
    <t>Trip Charge surplus (* 1)</t>
  </si>
  <si>
    <t>Insurance</t>
  </si>
  <si>
    <t>Daily Charge surplus (*2)</t>
  </si>
  <si>
    <t>Licence</t>
  </si>
  <si>
    <t>Share</t>
  </si>
  <si>
    <t>Budget Asumptions</t>
  </si>
  <si>
    <t>No. of Participants</t>
  </si>
  <si>
    <t>(charge minus cost/trip x No. of trips = budget)</t>
  </si>
  <si>
    <t>Number of NP days (135)</t>
  </si>
  <si>
    <t>Days use (52)</t>
  </si>
  <si>
    <t>Cost/day Fuel /gas (£17)</t>
  </si>
  <si>
    <t>(charge minus cost/day x Days use = budget)</t>
  </si>
  <si>
    <t>Number of trips (12)</t>
  </si>
  <si>
    <t>Cost/trip of Pumpout (£29)</t>
  </si>
  <si>
    <t>Share increased by £30 in 2010, increased  again in 2013 by £30</t>
  </si>
  <si>
    <t>Trip/Daily net of cost/income planned for a small surplus</t>
  </si>
  <si>
    <t>Insurance TBA</t>
  </si>
  <si>
    <t>Licence inflated by 6% over last year</t>
  </si>
  <si>
    <t>Winter moorings inflated by 5% over last year</t>
  </si>
  <si>
    <t>Emergencies were reduced from £800 in 2006</t>
  </si>
  <si>
    <t>NPs target increased from £800 in 2008 but reduced from £1000 in 2011</t>
  </si>
  <si>
    <t>Occasional moorings reduced from £1500 in 2006</t>
  </si>
  <si>
    <t>Day charge increased from £15/20 in 2011</t>
  </si>
  <si>
    <t>Budget</t>
  </si>
  <si>
    <t>Actual</t>
  </si>
  <si>
    <t>water tank</t>
  </si>
  <si>
    <t>lino</t>
  </si>
  <si>
    <t>Average of 4 years</t>
  </si>
  <si>
    <t>Maintenance</t>
  </si>
  <si>
    <t>2018 less above</t>
  </si>
  <si>
    <t>Days use</t>
  </si>
  <si>
    <t>Trips</t>
  </si>
  <si>
    <t xml:space="preserve">Start of year Floating Fund </t>
  </si>
  <si>
    <t>EOY Floating Fund</t>
  </si>
  <si>
    <t>Loan repayments</t>
  </si>
  <si>
    <t>See other sheet</t>
  </si>
  <si>
    <t>Allows gradual increase of fund</t>
  </si>
  <si>
    <t>Cost</t>
  </si>
  <si>
    <t>Loan</t>
  </si>
  <si>
    <t>Years to repay at rate above</t>
  </si>
  <si>
    <t>Recommended Max Budget</t>
  </si>
  <si>
    <t>Participant 1-off contributions</t>
  </si>
  <si>
    <t>Painting (All in 2020)</t>
  </si>
  <si>
    <t>2021 Contribution from float</t>
  </si>
  <si>
    <t>No. of 1-year Participants</t>
  </si>
  <si>
    <t>Existing Participant 1-off contribution</t>
  </si>
  <si>
    <t>*2 Daily charge  (£25 1/6-30/9 / £30)</t>
  </si>
  <si>
    <t xml:space="preserve">*1 trip charge </t>
  </si>
  <si>
    <t>(Both unchanged)</t>
  </si>
  <si>
    <t>FUTURE BUDGETS</t>
  </si>
  <si>
    <t>Painting</t>
  </si>
  <si>
    <t>Painting contribution</t>
  </si>
  <si>
    <t>Painting Loan</t>
  </si>
  <si>
    <t>Repayments total</t>
  </si>
  <si>
    <t xml:space="preserve">Net owing end March </t>
  </si>
  <si>
    <t>Planned Years to repay</t>
  </si>
  <si>
    <t>See averages sheet</t>
  </si>
  <si>
    <t xml:space="preserve">Net owing end April </t>
  </si>
  <si>
    <t>2021 Budget Contribution</t>
  </si>
  <si>
    <t>Winter Moorings (Swanley Offset?)</t>
  </si>
  <si>
    <t>Based on Feb2020 quote</t>
  </si>
</sst>
</file>

<file path=xl/styles.xml><?xml version="1.0" encoding="utf-8"?>
<styleSheet xmlns="http://schemas.openxmlformats.org/spreadsheetml/2006/main">
  <numFmts count="6">
    <numFmt numFmtId="6" formatCode="&quot;£&quot;#,##0;[Red]\-&quot;£&quot;#,##0"/>
    <numFmt numFmtId="8" formatCode="&quot;£&quot;#,##0.00;[Red]\-&quot;£&quot;#,##0.00"/>
    <numFmt numFmtId="164" formatCode="&quot;£&quot;#,##0"/>
    <numFmt numFmtId="165" formatCode="0.0"/>
    <numFmt numFmtId="166" formatCode="\$#,##0\ ;\(\$#,##0\)"/>
    <numFmt numFmtId="167" formatCode="#,##0.0"/>
  </numFmts>
  <fonts count="12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166" fontId="1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left"/>
    </xf>
    <xf numFmtId="166" fontId="5" fillId="0" borderId="0" xfId="0" applyNumberFormat="1" applyFont="1"/>
    <xf numFmtId="164" fontId="6" fillId="0" borderId="0" xfId="0" applyNumberFormat="1" applyFont="1"/>
    <xf numFmtId="166" fontId="6" fillId="0" borderId="0" xfId="0" applyNumberFormat="1" applyFont="1"/>
    <xf numFmtId="0" fontId="6" fillId="0" borderId="0" xfId="0" applyFont="1"/>
    <xf numFmtId="6" fontId="2" fillId="0" borderId="0" xfId="0" applyNumberFormat="1" applyFont="1"/>
    <xf numFmtId="0" fontId="2" fillId="0" borderId="0" xfId="0" applyFont="1" applyAlignment="1">
      <alignment horizontal="center"/>
    </xf>
    <xf numFmtId="166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/>
    <xf numFmtId="166" fontId="2" fillId="0" borderId="3" xfId="0" applyNumberFormat="1" applyFont="1" applyBorder="1"/>
    <xf numFmtId="0" fontId="2" fillId="0" borderId="0" xfId="0" applyFont="1" applyAlignment="1">
      <alignment horizontal="right"/>
    </xf>
    <xf numFmtId="0" fontId="7" fillId="0" borderId="0" xfId="0" applyFont="1"/>
    <xf numFmtId="165" fontId="2" fillId="0" borderId="0" xfId="0" applyNumberFormat="1" applyFont="1"/>
    <xf numFmtId="166" fontId="8" fillId="0" borderId="0" xfId="0" applyNumberFormat="1" applyFont="1"/>
    <xf numFmtId="164" fontId="2" fillId="4" borderId="0" xfId="0" applyNumberFormat="1" applyFont="1" applyFill="1"/>
    <xf numFmtId="3" fontId="2" fillId="4" borderId="0" xfId="0" applyNumberFormat="1" applyFont="1" applyFill="1"/>
    <xf numFmtId="164" fontId="2" fillId="3" borderId="0" xfId="0" applyNumberFormat="1" applyFont="1" applyFill="1"/>
    <xf numFmtId="166" fontId="2" fillId="3" borderId="0" xfId="0" applyNumberFormat="1" applyFont="1" applyFill="1"/>
    <xf numFmtId="164" fontId="2" fillId="2" borderId="0" xfId="0" applyNumberFormat="1" applyFont="1" applyFill="1"/>
    <xf numFmtId="0" fontId="9" fillId="0" borderId="0" xfId="0" applyFont="1"/>
    <xf numFmtId="6" fontId="2" fillId="2" borderId="0" xfId="0" applyNumberFormat="1" applyFont="1" applyFill="1"/>
    <xf numFmtId="0" fontId="2" fillId="4" borderId="0" xfId="0" applyFont="1" applyFill="1"/>
    <xf numFmtId="164" fontId="2" fillId="5" borderId="0" xfId="0" applyNumberFormat="1" applyFont="1" applyFill="1"/>
    <xf numFmtId="0" fontId="2" fillId="5" borderId="0" xfId="0" applyFont="1" applyFill="1"/>
    <xf numFmtId="164" fontId="9" fillId="0" borderId="0" xfId="0" applyNumberFormat="1" applyFont="1"/>
    <xf numFmtId="164" fontId="0" fillId="0" borderId="0" xfId="0" applyNumberFormat="1"/>
    <xf numFmtId="164" fontId="0" fillId="0" borderId="2" xfId="0" applyNumberFormat="1" applyBorder="1"/>
    <xf numFmtId="0" fontId="0" fillId="0" borderId="1" xfId="0" applyBorder="1"/>
    <xf numFmtId="164" fontId="0" fillId="0" borderId="4" xfId="0" applyNumberFormat="1" applyBorder="1"/>
    <xf numFmtId="0" fontId="0" fillId="0" borderId="4" xfId="0" applyBorder="1"/>
    <xf numFmtId="0" fontId="0" fillId="0" borderId="5" xfId="0" applyBorder="1"/>
    <xf numFmtId="8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0" fillId="4" borderId="0" xfId="0" applyNumberFormat="1" applyFill="1"/>
    <xf numFmtId="8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2" fontId="6" fillId="0" borderId="0" xfId="0" applyNumberFormat="1" applyFont="1"/>
    <xf numFmtId="0" fontId="10" fillId="0" borderId="0" xfId="0" applyFont="1" applyAlignment="1">
      <alignment horizontal="center"/>
    </xf>
    <xf numFmtId="164" fontId="2" fillId="6" borderId="0" xfId="0" applyNumberFormat="1" applyFont="1" applyFill="1"/>
    <xf numFmtId="3" fontId="2" fillId="6" borderId="0" xfId="0" applyNumberFormat="1" applyFont="1" applyFill="1"/>
    <xf numFmtId="166" fontId="2" fillId="0" borderId="0" xfId="0" applyNumberFormat="1" applyFont="1" applyAlignment="1">
      <alignment wrapText="1"/>
    </xf>
    <xf numFmtId="164" fontId="2" fillId="6" borderId="0" xfId="0" applyNumberFormat="1" applyFont="1" applyFill="1" applyAlignment="1">
      <alignment vertical="center"/>
    </xf>
    <xf numFmtId="166" fontId="2" fillId="0" borderId="0" xfId="0" applyNumberFormat="1" applyFont="1" applyAlignment="1">
      <alignment horizontal="center"/>
    </xf>
    <xf numFmtId="1" fontId="2" fillId="0" borderId="0" xfId="0" applyNumberFormat="1" applyFont="1"/>
    <xf numFmtId="166" fontId="2" fillId="7" borderId="0" xfId="0" applyNumberFormat="1" applyFont="1" applyFill="1"/>
    <xf numFmtId="164" fontId="2" fillId="7" borderId="0" xfId="0" applyNumberFormat="1" applyFont="1" applyFill="1"/>
    <xf numFmtId="1" fontId="1" fillId="0" borderId="0" xfId="0" applyNumberFormat="1" applyFont="1"/>
    <xf numFmtId="8" fontId="6" fillId="0" borderId="0" xfId="0" applyNumberFormat="1" applyFont="1" applyAlignment="1">
      <alignment horizontal="right"/>
    </xf>
    <xf numFmtId="0" fontId="2" fillId="2" borderId="0" xfId="0" applyFont="1" applyFill="1"/>
    <xf numFmtId="164" fontId="2" fillId="0" borderId="4" xfId="0" applyNumberFormat="1" applyFont="1" applyBorder="1"/>
    <xf numFmtId="8" fontId="6" fillId="0" borderId="0" xfId="0" applyNumberFormat="1" applyFont="1" applyAlignment="1">
      <alignment horizontal="center"/>
    </xf>
    <xf numFmtId="0" fontId="9" fillId="0" borderId="0" xfId="0" applyFont="1" applyAlignment="1"/>
    <xf numFmtId="166" fontId="8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il\AppData\Local\Microsoft\Windows\INetCache\Content.Outlook\VKPU48PW\Revised%202020%20budget-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VISED JOBS"/>
      <sheetName val="BUDGET"/>
    </sheetNames>
    <sheetDataSet>
      <sheetData sheetId="0"/>
      <sheetData sheetId="1">
        <row r="13">
          <cell r="B13">
            <v>928.45000000000073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1"/>
  <sheetViews>
    <sheetView showZeros="0" workbookViewId="0">
      <selection activeCell="G16" sqref="G16"/>
    </sheetView>
  </sheetViews>
  <sheetFormatPr defaultColWidth="10" defaultRowHeight="15.5"/>
  <cols>
    <col min="1" max="1" width="37.453125" style="3" customWidth="1"/>
    <col min="2" max="2" width="10.90625" style="2" customWidth="1"/>
    <col min="3" max="3" width="4.81640625" style="3" customWidth="1"/>
    <col min="4" max="4" width="28.6328125" style="3" customWidth="1"/>
    <col min="5" max="5" width="10.90625" style="2" customWidth="1"/>
    <col min="6" max="6" width="34.453125" style="4" customWidth="1"/>
    <col min="7" max="7" width="10.54296875" style="4" bestFit="1" customWidth="1"/>
    <col min="8" max="16" width="13.54296875" style="4" customWidth="1"/>
    <col min="17" max="16384" width="10" style="5"/>
  </cols>
  <sheetData>
    <row r="1" spans="1:256" ht="23">
      <c r="A1" s="1" t="s">
        <v>66</v>
      </c>
      <c r="B1" s="52">
        <v>2021</v>
      </c>
      <c r="I1" s="4">
        <v>2021</v>
      </c>
    </row>
    <row r="2" spans="1:256">
      <c r="A2" s="6"/>
      <c r="B2" s="7"/>
      <c r="D2" s="8"/>
      <c r="E2" s="9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idden="1"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13" customFormat="1">
      <c r="A4" s="10" t="s">
        <v>0</v>
      </c>
      <c r="B4" s="11"/>
      <c r="C4" s="12"/>
      <c r="D4" s="10" t="s">
        <v>1</v>
      </c>
      <c r="E4" s="11"/>
    </row>
    <row r="5" spans="1:256"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>
      <c r="A6" s="3" t="s">
        <v>2</v>
      </c>
      <c r="B6" s="2">
        <v>2865.87</v>
      </c>
      <c r="D6" s="3" t="s">
        <v>3</v>
      </c>
      <c r="E6" s="2">
        <f>E20*E23</f>
        <v>3750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>
      <c r="A7" s="3" t="s">
        <v>4</v>
      </c>
      <c r="B7" s="23">
        <f>'Averages over 4 years'!C13</f>
        <v>1000</v>
      </c>
      <c r="D7" s="3" t="s">
        <v>5</v>
      </c>
      <c r="E7" s="23">
        <f>E25*E17</f>
        <v>2560</v>
      </c>
      <c r="F7" s="30" t="s">
        <v>52</v>
      </c>
      <c r="G7" s="3"/>
      <c r="H7" s="3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>
      <c r="A8" s="3" t="s">
        <v>51</v>
      </c>
      <c r="B8" s="31">
        <f>AVERAGE('2021'!B7,'2022'!B7,'2023'!B7)</f>
        <v>0</v>
      </c>
      <c r="D8" s="3" t="s">
        <v>6</v>
      </c>
      <c r="E8" s="2">
        <f>(B26-E27)*E26</f>
        <v>306.25</v>
      </c>
      <c r="F8" s="32" t="s">
        <v>53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>
      <c r="A9" s="3" t="s">
        <v>7</v>
      </c>
      <c r="B9" s="27">
        <v>400</v>
      </c>
      <c r="D9" s="3" t="s">
        <v>8</v>
      </c>
      <c r="E9" s="29">
        <f>E18</f>
        <v>-45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>
      <c r="A10" s="3" t="s">
        <v>9</v>
      </c>
      <c r="B10" s="2">
        <v>0</v>
      </c>
      <c r="F10" s="15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>
      <c r="A11" s="16" t="s">
        <v>10</v>
      </c>
      <c r="B11" s="17">
        <f>SUM(B6:B10)</f>
        <v>4265.87</v>
      </c>
      <c r="D11" s="16" t="s">
        <v>11</v>
      </c>
      <c r="E11" s="17">
        <f>SUM(E6:E10)</f>
        <v>6571.25</v>
      </c>
      <c r="F11" s="59" t="s">
        <v>59</v>
      </c>
      <c r="G11" s="60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>
      <c r="D12" s="19"/>
      <c r="E12" s="4"/>
      <c r="F12" s="43" t="s">
        <v>54</v>
      </c>
      <c r="G12" s="2">
        <v>8500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>
      <c r="A13" s="26" t="s">
        <v>50</v>
      </c>
      <c r="B13" s="25">
        <f>E14-B11-B12</f>
        <v>1483.8300000000008</v>
      </c>
      <c r="D13" s="3" t="s">
        <v>49</v>
      </c>
      <c r="E13" s="2">
        <f>[1]BUDGET!$B$13-G16</f>
        <v>-821.54999999999927</v>
      </c>
      <c r="F13" s="1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>
      <c r="A14" s="18" t="s">
        <v>12</v>
      </c>
      <c r="B14" s="17">
        <f>B11+B12+B13</f>
        <v>5749.7000000000007</v>
      </c>
      <c r="D14" s="16" t="s">
        <v>13</v>
      </c>
      <c r="E14" s="17">
        <f>E11+E13+E12</f>
        <v>5749.7000000000007</v>
      </c>
      <c r="F14" s="40" t="s">
        <v>58</v>
      </c>
      <c r="G14" s="2">
        <f>E30*E23</f>
        <v>3750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hidden="1"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>
      <c r="F16" s="19" t="s">
        <v>60</v>
      </c>
      <c r="G16" s="2">
        <f>'2021'!G13</f>
        <v>1750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>
      <c r="A17" s="3" t="s">
        <v>14</v>
      </c>
      <c r="B17" s="2">
        <v>750</v>
      </c>
      <c r="D17" s="3" t="s">
        <v>15</v>
      </c>
      <c r="E17" s="2">
        <v>20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>
      <c r="A18" s="3" t="s">
        <v>16</v>
      </c>
      <c r="B18" s="2">
        <v>700</v>
      </c>
      <c r="D18" s="3" t="s">
        <v>17</v>
      </c>
      <c r="E18" s="14">
        <f>(B23-E29)*E28</f>
        <v>-45</v>
      </c>
      <c r="F18" s="41" t="s">
        <v>55</v>
      </c>
      <c r="G18" s="2">
        <f>G12+G13-G14-G16</f>
        <v>3000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>
      <c r="A19" s="3" t="s">
        <v>18</v>
      </c>
      <c r="B19" s="2">
        <v>283.02000000000004</v>
      </c>
      <c r="D19" s="3" t="s">
        <v>19</v>
      </c>
      <c r="E19" s="2">
        <f>(B26-E27)*E26</f>
        <v>306.25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>
      <c r="A20" s="3" t="s">
        <v>20</v>
      </c>
      <c r="B20" s="2">
        <v>1132.8499999999999</v>
      </c>
      <c r="D20" s="3" t="s">
        <v>21</v>
      </c>
      <c r="E20" s="47">
        <v>500</v>
      </c>
      <c r="F20" s="44" t="s">
        <v>56</v>
      </c>
      <c r="G20" s="45" t="e">
        <f>G18/B8</f>
        <v>#DIV/0!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>
      <c r="B21" s="17">
        <v>2865.87</v>
      </c>
      <c r="F21" s="46" t="e">
        <f>CONCATENATE("March 2021,2022",IF(G20&gt;2,", 2023",""),IF(G20&gt;3,", 2024",""),IF(G20&gt;4,", 2025",""),IF(G20&gt;5,", 2026",""),IF(INT(G20)=G20,"",CONCATENATE(" (£",G18-INT(G20)*B8,")")))</f>
        <v>#DIV/0!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>
      <c r="D22" s="12" t="s">
        <v>22</v>
      </c>
      <c r="F22" s="19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>
      <c r="A23" s="20" t="s">
        <v>64</v>
      </c>
      <c r="B23" s="2">
        <v>25</v>
      </c>
      <c r="D23" s="3" t="s">
        <v>23</v>
      </c>
      <c r="E23" s="21">
        <v>7.5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>
      <c r="A24" s="3" t="s">
        <v>24</v>
      </c>
      <c r="D24" s="3" t="s">
        <v>61</v>
      </c>
      <c r="E24" s="48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>
      <c r="D25" s="3" t="s">
        <v>25</v>
      </c>
      <c r="E25" s="24">
        <f>'Averages over 4 years'!F11</f>
        <v>128</v>
      </c>
      <c r="F25" s="30" t="s">
        <v>52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>
      <c r="A26" s="20" t="s">
        <v>63</v>
      </c>
      <c r="B26" s="2">
        <v>25</v>
      </c>
      <c r="D26" s="3" t="s">
        <v>26</v>
      </c>
      <c r="E26" s="24">
        <f>'Averages over 4 years'!D11</f>
        <v>61.25</v>
      </c>
      <c r="F26" s="30" t="s">
        <v>52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pans="1:256">
      <c r="A27" s="3" t="s">
        <v>28</v>
      </c>
      <c r="D27" s="3" t="s">
        <v>27</v>
      </c>
      <c r="E27" s="2">
        <v>20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>
      <c r="A28" s="51" t="s">
        <v>65</v>
      </c>
      <c r="D28" s="3" t="s">
        <v>29</v>
      </c>
      <c r="E28" s="24">
        <f>'Averages over 4 years'!E11</f>
        <v>15</v>
      </c>
      <c r="F28" s="30" t="s">
        <v>52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>
      <c r="D29" s="3" t="s">
        <v>30</v>
      </c>
      <c r="E29" s="2">
        <v>28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ht="32" customHeight="1">
      <c r="A30" s="61" t="s">
        <v>31</v>
      </c>
      <c r="B30" s="62"/>
      <c r="D30" s="49" t="s">
        <v>62</v>
      </c>
      <c r="E30" s="50">
        <v>500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>
      <c r="A31" s="22" t="s">
        <v>32</v>
      </c>
      <c r="D31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>
      <c r="A32" s="22" t="s">
        <v>33</v>
      </c>
      <c r="D32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>
      <c r="A33" s="22" t="s">
        <v>34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>
      <c r="A34" s="22" t="s">
        <v>35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spans="1:256">
      <c r="A36" s="22" t="s">
        <v>36</v>
      </c>
    </row>
    <row r="37" spans="1:256">
      <c r="A37" s="22" t="s">
        <v>37</v>
      </c>
    </row>
    <row r="38" spans="1:256">
      <c r="A38" s="22" t="s">
        <v>38</v>
      </c>
    </row>
    <row r="39" spans="1:256">
      <c r="A39" s="22" t="s">
        <v>39</v>
      </c>
    </row>
    <row r="41" spans="1:256">
      <c r="A41" s="12"/>
    </row>
  </sheetData>
  <mergeCells count="2">
    <mergeCell ref="F11:G11"/>
    <mergeCell ref="A30:B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G21" sqref="G21"/>
    </sheetView>
  </sheetViews>
  <sheetFormatPr defaultRowHeight="14.5"/>
  <cols>
    <col min="1" max="1" width="15.7265625" customWidth="1"/>
    <col min="2" max="3" width="8.7265625" style="34"/>
  </cols>
  <sheetData>
    <row r="1" spans="1:6">
      <c r="B1" s="63" t="s">
        <v>45</v>
      </c>
      <c r="C1" s="63"/>
      <c r="D1" s="28" t="s">
        <v>47</v>
      </c>
      <c r="E1" s="28" t="s">
        <v>48</v>
      </c>
      <c r="F1" s="28" t="s">
        <v>5</v>
      </c>
    </row>
    <row r="2" spans="1:6">
      <c r="B2" s="33" t="s">
        <v>41</v>
      </c>
      <c r="C2" s="33" t="s">
        <v>40</v>
      </c>
      <c r="D2" s="28"/>
      <c r="E2" s="28"/>
      <c r="F2" s="28"/>
    </row>
    <row r="3" spans="1:6">
      <c r="A3" s="28">
        <v>2016</v>
      </c>
      <c r="B3" s="34">
        <v>274</v>
      </c>
      <c r="C3" s="34">
        <v>1310</v>
      </c>
      <c r="D3">
        <v>52</v>
      </c>
      <c r="E3">
        <v>13</v>
      </c>
      <c r="F3">
        <v>105</v>
      </c>
    </row>
    <row r="4" spans="1:6">
      <c r="A4" s="28">
        <v>2017</v>
      </c>
      <c r="B4" s="34">
        <v>469</v>
      </c>
      <c r="C4" s="34">
        <v>1215</v>
      </c>
      <c r="D4">
        <v>64</v>
      </c>
      <c r="E4">
        <v>17</v>
      </c>
      <c r="F4">
        <v>122</v>
      </c>
    </row>
    <row r="5" spans="1:6">
      <c r="A5">
        <v>2018</v>
      </c>
      <c r="B5" s="34">
        <v>2692</v>
      </c>
      <c r="C5" s="34">
        <v>2695</v>
      </c>
    </row>
    <row r="6" spans="1:6">
      <c r="A6" t="s">
        <v>42</v>
      </c>
      <c r="B6" s="34">
        <v>-1315</v>
      </c>
      <c r="C6" s="34">
        <v>-1000</v>
      </c>
    </row>
    <row r="7" spans="1:6" ht="15" thickBot="1">
      <c r="A7" t="s">
        <v>43</v>
      </c>
      <c r="B7" s="34">
        <v>-734</v>
      </c>
      <c r="C7" s="34">
        <v>-560</v>
      </c>
    </row>
    <row r="8" spans="1:6" ht="15" thickTop="1">
      <c r="A8" s="28" t="s">
        <v>46</v>
      </c>
      <c r="B8" s="35">
        <f>SUM(B5:B7)</f>
        <v>643</v>
      </c>
      <c r="C8" s="35">
        <f>SUM(C5:C7)</f>
        <v>1135</v>
      </c>
      <c r="D8">
        <v>77</v>
      </c>
      <c r="E8">
        <v>18</v>
      </c>
      <c r="F8">
        <v>150</v>
      </c>
    </row>
    <row r="9" spans="1:6">
      <c r="A9" s="28">
        <v>2019</v>
      </c>
      <c r="B9" s="34">
        <v>551</v>
      </c>
      <c r="C9" s="34">
        <v>958</v>
      </c>
      <c r="D9">
        <v>52</v>
      </c>
      <c r="E9">
        <v>12</v>
      </c>
      <c r="F9">
        <v>135</v>
      </c>
    </row>
    <row r="10" spans="1:6" ht="15" thickBot="1"/>
    <row r="11" spans="1:6" ht="15.5" thickTop="1" thickBot="1">
      <c r="A11" s="36" t="s">
        <v>44</v>
      </c>
      <c r="B11" s="37">
        <f>AVERAGE(B3:B4,B8:B9)</f>
        <v>484.25</v>
      </c>
      <c r="C11" s="37">
        <f>AVERAGE(C3:C4,C8:C9)</f>
        <v>1154.5</v>
      </c>
      <c r="D11" s="38">
        <f t="shared" ref="D11:F11" si="0">AVERAGE(D3:D4,D8:D9)</f>
        <v>61.25</v>
      </c>
      <c r="E11" s="38">
        <f t="shared" si="0"/>
        <v>15</v>
      </c>
      <c r="F11" s="39">
        <f t="shared" si="0"/>
        <v>128</v>
      </c>
    </row>
    <row r="12" spans="1:6" ht="15" thickTop="1"/>
    <row r="13" spans="1:6">
      <c r="A13" t="s">
        <v>57</v>
      </c>
      <c r="C13" s="42">
        <v>1000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39"/>
  <sheetViews>
    <sheetView tabSelected="1" workbookViewId="0">
      <selection activeCell="H9" sqref="H9"/>
    </sheetView>
  </sheetViews>
  <sheetFormatPr defaultColWidth="10" defaultRowHeight="15.5"/>
  <cols>
    <col min="1" max="1" width="37.453125" style="3" customWidth="1"/>
    <col min="2" max="2" width="10.90625" style="2" customWidth="1"/>
    <col min="3" max="3" width="4.81640625" style="3" customWidth="1"/>
    <col min="4" max="4" width="28.6328125" style="3" customWidth="1"/>
    <col min="5" max="5" width="10.90625" style="2" customWidth="1"/>
    <col min="6" max="6" width="34.453125" style="4" customWidth="1"/>
    <col min="7" max="7" width="10.54296875" style="4" bestFit="1" customWidth="1"/>
    <col min="8" max="16" width="13.54296875" style="4" customWidth="1"/>
    <col min="17" max="16384" width="10" style="5"/>
  </cols>
  <sheetData>
    <row r="1" spans="1:256" ht="23">
      <c r="A1" s="1" t="s">
        <v>66</v>
      </c>
      <c r="B1" s="55">
        <v>2021</v>
      </c>
    </row>
    <row r="2" spans="1:256" hidden="1"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s="13" customFormat="1">
      <c r="A3" s="10" t="s">
        <v>0</v>
      </c>
      <c r="B3" s="11"/>
      <c r="C3" s="12"/>
      <c r="D3" s="10" t="s">
        <v>1</v>
      </c>
      <c r="E3" s="11"/>
    </row>
    <row r="4" spans="1:256"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>
      <c r="A5" s="3" t="s">
        <v>2</v>
      </c>
      <c r="B5" s="2">
        <f>B19</f>
        <v>2856</v>
      </c>
      <c r="D5" s="3" t="s">
        <v>3</v>
      </c>
      <c r="E5" s="2">
        <f>E18*E21</f>
        <v>3750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>
      <c r="A6" s="3" t="s">
        <v>4</v>
      </c>
      <c r="B6" s="23">
        <f>'Averages over 4 years'!C13</f>
        <v>1000</v>
      </c>
      <c r="D6" s="3" t="s">
        <v>5</v>
      </c>
      <c r="E6" s="23">
        <f>E23*E15</f>
        <v>2560</v>
      </c>
      <c r="F6" s="30" t="s">
        <v>73</v>
      </c>
      <c r="G6" s="3"/>
      <c r="H6" s="3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>
      <c r="A7" s="3" t="s">
        <v>51</v>
      </c>
      <c r="B7" s="31"/>
      <c r="D7" s="3" t="s">
        <v>6</v>
      </c>
      <c r="E7" s="2">
        <f>E17</f>
        <v>306</v>
      </c>
      <c r="F7" s="57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>
      <c r="A8" s="3" t="s">
        <v>7</v>
      </c>
      <c r="B8" s="27">
        <v>400</v>
      </c>
      <c r="D8" s="3" t="s">
        <v>8</v>
      </c>
      <c r="E8" s="29">
        <f>E16</f>
        <v>-45</v>
      </c>
      <c r="F8" s="59" t="s">
        <v>67</v>
      </c>
      <c r="G8" s="60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>
      <c r="A9" s="3" t="s">
        <v>9</v>
      </c>
      <c r="B9" s="2">
        <v>0</v>
      </c>
      <c r="F9" s="56" t="s">
        <v>54</v>
      </c>
      <c r="G9" s="2">
        <v>8500</v>
      </c>
      <c r="H9" s="4" t="s">
        <v>77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>
      <c r="A10" s="16" t="s">
        <v>10</v>
      </c>
      <c r="B10" s="17">
        <f>SUM(B5:B9)</f>
        <v>4256</v>
      </c>
      <c r="D10" s="16" t="s">
        <v>11</v>
      </c>
      <c r="E10" s="17">
        <f>SUM(E5:E9)</f>
        <v>6571</v>
      </c>
      <c r="F10" s="19" t="str">
        <f>CONCATENATE("Contingency ",TEXT(G10/G9*100,"0"),"%")</f>
        <v>Contingency 0%</v>
      </c>
      <c r="G10" s="2"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>
      <c r="A11" s="53" t="s">
        <v>68</v>
      </c>
      <c r="B11" s="54">
        <f>G13</f>
        <v>1750</v>
      </c>
      <c r="D11" s="19"/>
      <c r="E11" s="4"/>
      <c r="F11" s="5"/>
      <c r="G11" s="5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>
      <c r="A12" s="26" t="s">
        <v>50</v>
      </c>
      <c r="B12" s="25">
        <f>E13-B10-B11</f>
        <v>1493</v>
      </c>
      <c r="D12" s="3" t="s">
        <v>49</v>
      </c>
      <c r="E12" s="2">
        <v>928</v>
      </c>
      <c r="F12" s="40" t="s">
        <v>58</v>
      </c>
      <c r="G12" s="2">
        <f>E28*E21</f>
        <v>6750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>
      <c r="A13" s="18" t="s">
        <v>12</v>
      </c>
      <c r="B13" s="17">
        <f>B10+B11+B12</f>
        <v>7499</v>
      </c>
      <c r="D13" s="16" t="s">
        <v>13</v>
      </c>
      <c r="E13" s="17">
        <f>E10+E12+E11</f>
        <v>7499</v>
      </c>
      <c r="F13" s="19" t="s">
        <v>75</v>
      </c>
      <c r="G13" s="2">
        <f>G9-G12</f>
        <v>1750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ht="16" thickBot="1">
      <c r="F14" s="41" t="s">
        <v>55</v>
      </c>
      <c r="G14" s="2"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ht="16.5" thickTop="1" thickBot="1">
      <c r="A15" s="3" t="s">
        <v>76</v>
      </c>
      <c r="B15" s="2">
        <v>750</v>
      </c>
      <c r="D15" s="3" t="s">
        <v>15</v>
      </c>
      <c r="E15" s="2">
        <v>20</v>
      </c>
      <c r="G15" s="58">
        <f>SUM(G12:G14)</f>
        <v>8500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ht="16" thickTop="1">
      <c r="A16" s="3" t="s">
        <v>16</v>
      </c>
      <c r="B16" s="2">
        <v>700</v>
      </c>
      <c r="D16" s="3" t="s">
        <v>17</v>
      </c>
      <c r="E16" s="14">
        <f>(B21-E27)*E26</f>
        <v>-45</v>
      </c>
      <c r="F16" s="5"/>
      <c r="G16" s="5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>
      <c r="A17" s="3" t="s">
        <v>18</v>
      </c>
      <c r="B17" s="2">
        <v>273</v>
      </c>
      <c r="D17" s="3" t="s">
        <v>19</v>
      </c>
      <c r="E17" s="2">
        <f>ROUND((B24-E25)*E24,0)</f>
        <v>306</v>
      </c>
      <c r="F17" s="41" t="s">
        <v>74</v>
      </c>
      <c r="G17" s="2">
        <f>G14-B7</f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>
      <c r="A18" s="3" t="s">
        <v>20</v>
      </c>
      <c r="B18" s="2">
        <v>1133</v>
      </c>
      <c r="D18" s="3" t="s">
        <v>21</v>
      </c>
      <c r="E18" s="47">
        <v>500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>
      <c r="B19" s="17">
        <f>SUM(B15:B18)</f>
        <v>2856</v>
      </c>
      <c r="F19" s="44" t="s">
        <v>72</v>
      </c>
      <c r="G19" s="45">
        <f>IF(B7&lt;G14,IF(SUM(B7+'2022'!B7)&lt;'2021'!G14,3,2),1)</f>
        <v>1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>
      <c r="D20" s="12" t="s">
        <v>22</v>
      </c>
      <c r="F20" s="64" t="str">
        <f>CONCATENATE(IF(B7&gt;0,CONCATENATE("April 2021 £",B7),""),,IF('2022'!B7&gt;0,CONCATENATE("     April 2022 £",'2022'!B7),""),IF('2023'!B7&gt;0,CONCATENATE("     April 2023 £",'2023'!B7),""))</f>
        <v/>
      </c>
      <c r="G20" s="65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>
      <c r="A21" s="20" t="s">
        <v>64</v>
      </c>
      <c r="B21" s="2">
        <v>25</v>
      </c>
      <c r="D21" s="3" t="s">
        <v>23</v>
      </c>
      <c r="E21" s="21">
        <v>7.5</v>
      </c>
      <c r="F21" s="5"/>
      <c r="G21" s="5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>
      <c r="A22" s="3" t="s">
        <v>24</v>
      </c>
      <c r="E22" s="48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>
      <c r="D23" s="3" t="s">
        <v>25</v>
      </c>
      <c r="E23" s="24">
        <f>'Averages over 4 years'!F11</f>
        <v>128</v>
      </c>
      <c r="F23" s="30" t="s">
        <v>73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>
      <c r="A24" s="20" t="s">
        <v>63</v>
      </c>
      <c r="B24" s="2">
        <v>25</v>
      </c>
      <c r="D24" s="3" t="s">
        <v>26</v>
      </c>
      <c r="E24" s="24">
        <f>'Averages over 4 years'!D11</f>
        <v>61.25</v>
      </c>
      <c r="F24" s="30" t="s">
        <v>73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>
      <c r="A25" s="3" t="s">
        <v>28</v>
      </c>
      <c r="D25" s="3" t="s">
        <v>27</v>
      </c>
      <c r="E25" s="2">
        <v>20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>
      <c r="A26" s="51" t="s">
        <v>65</v>
      </c>
      <c r="D26" s="3" t="s">
        <v>29</v>
      </c>
      <c r="E26" s="24">
        <f>'Averages over 4 years'!E11</f>
        <v>15</v>
      </c>
      <c r="F26" s="30" t="s">
        <v>73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pans="1:256">
      <c r="D27" s="3" t="s">
        <v>30</v>
      </c>
      <c r="E27" s="2">
        <v>28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ht="32" customHeight="1">
      <c r="A28" s="61" t="s">
        <v>31</v>
      </c>
      <c r="B28" s="62"/>
      <c r="D28" s="49" t="s">
        <v>62</v>
      </c>
      <c r="E28" s="50">
        <v>900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>
      <c r="A29" s="22" t="s">
        <v>32</v>
      </c>
      <c r="D29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>
      <c r="A30" s="22" t="s">
        <v>33</v>
      </c>
      <c r="D30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>
      <c r="A31" s="22" t="s">
        <v>34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>
      <c r="A32" s="22" t="s">
        <v>35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>
      <c r="A34" s="22" t="s">
        <v>36</v>
      </c>
    </row>
    <row r="35" spans="1:256">
      <c r="A35" s="22" t="s">
        <v>37</v>
      </c>
    </row>
    <row r="36" spans="1:256">
      <c r="A36" s="22" t="s">
        <v>38</v>
      </c>
    </row>
    <row r="37" spans="1:256">
      <c r="A37" s="22" t="s">
        <v>39</v>
      </c>
    </row>
    <row r="39" spans="1:256">
      <c r="A39" s="12"/>
    </row>
  </sheetData>
  <mergeCells count="3">
    <mergeCell ref="F8:G8"/>
    <mergeCell ref="A28:B28"/>
    <mergeCell ref="F20:G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40"/>
  <sheetViews>
    <sheetView workbookViewId="0">
      <selection activeCell="E16" sqref="E16"/>
    </sheetView>
  </sheetViews>
  <sheetFormatPr defaultColWidth="10" defaultRowHeight="15.5"/>
  <cols>
    <col min="1" max="1" width="37.453125" style="3" customWidth="1"/>
    <col min="2" max="2" width="10.90625" style="2" customWidth="1"/>
    <col min="3" max="3" width="4.81640625" style="3" customWidth="1"/>
    <col min="4" max="4" width="28.6328125" style="3" customWidth="1"/>
    <col min="5" max="5" width="10.90625" style="2" customWidth="1"/>
    <col min="6" max="6" width="34.453125" style="4" customWidth="1"/>
    <col min="7" max="7" width="10.54296875" style="4" bestFit="1" customWidth="1"/>
    <col min="8" max="16" width="13.54296875" style="4" customWidth="1"/>
    <col min="17" max="16384" width="10" style="5"/>
  </cols>
  <sheetData>
    <row r="1" spans="1:256" ht="23">
      <c r="A1" s="1" t="s">
        <v>66</v>
      </c>
      <c r="B1" s="55">
        <v>2022</v>
      </c>
      <c r="I1" s="4">
        <v>2021</v>
      </c>
    </row>
    <row r="2" spans="1:256" hidden="1"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s="13" customFormat="1">
      <c r="A3" s="10" t="s">
        <v>0</v>
      </c>
      <c r="B3" s="11"/>
      <c r="C3" s="12"/>
      <c r="D3" s="10" t="s">
        <v>1</v>
      </c>
      <c r="E3" s="11"/>
    </row>
    <row r="4" spans="1:256"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>
      <c r="A5" s="3" t="s">
        <v>2</v>
      </c>
      <c r="B5" s="2">
        <f>B20</f>
        <v>2856</v>
      </c>
      <c r="D5" s="3" t="s">
        <v>3</v>
      </c>
      <c r="E5" s="2">
        <f>E19*E22</f>
        <v>3750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>
      <c r="A6" s="3" t="s">
        <v>4</v>
      </c>
      <c r="B6" s="23">
        <f>'Averages over 4 years'!C13</f>
        <v>1000</v>
      </c>
      <c r="D6" s="3" t="s">
        <v>5</v>
      </c>
      <c r="E6" s="23">
        <f>E24*E16</f>
        <v>2560</v>
      </c>
      <c r="F6" s="30" t="s">
        <v>73</v>
      </c>
      <c r="G6" s="3"/>
      <c r="H6" s="3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>
      <c r="A7" s="3" t="s">
        <v>51</v>
      </c>
      <c r="B7" s="31">
        <f>IF(E10-SUM(B5:B6,B8:B9)-200&gt;'2021'!G17,'2021'!G17,ROUNDDOWN((E10-SUM(B5:B6,B8:B9)-200)/100,0)*100)</f>
        <v>0</v>
      </c>
      <c r="D7" s="3" t="s">
        <v>6</v>
      </c>
      <c r="E7" s="2">
        <f>E18</f>
        <v>306</v>
      </c>
      <c r="F7" s="57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>
      <c r="A8" s="3" t="s">
        <v>7</v>
      </c>
      <c r="B8" s="27">
        <v>400</v>
      </c>
      <c r="D8" s="3" t="s">
        <v>8</v>
      </c>
      <c r="E8" s="29">
        <f>E17</f>
        <v>-45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>
      <c r="A9" s="3" t="s">
        <v>9</v>
      </c>
      <c r="B9" s="2">
        <v>0</v>
      </c>
      <c r="F9" s="15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>
      <c r="A10" s="16" t="s">
        <v>10</v>
      </c>
      <c r="B10" s="17">
        <f>SUM(B5:B9)</f>
        <v>4256</v>
      </c>
      <c r="D10" s="16" t="s">
        <v>11</v>
      </c>
      <c r="E10" s="17">
        <f>SUM(E5:E9)</f>
        <v>6571</v>
      </c>
      <c r="F10" s="59" t="s">
        <v>69</v>
      </c>
      <c r="G10" s="60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>
      <c r="D11" s="19"/>
      <c r="E11" s="4"/>
      <c r="F11" s="40" t="s">
        <v>55</v>
      </c>
      <c r="G11" s="2">
        <f>'2021'!G14</f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>
      <c r="A12" s="26" t="s">
        <v>50</v>
      </c>
      <c r="B12" s="25">
        <f>E13-B10-B11</f>
        <v>3808</v>
      </c>
      <c r="D12" s="3" t="s">
        <v>49</v>
      </c>
      <c r="E12" s="2">
        <f>'2021'!B12</f>
        <v>1493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>
      <c r="A13" s="18" t="s">
        <v>12</v>
      </c>
      <c r="B13" s="17">
        <f>B10+B11+B12</f>
        <v>8064</v>
      </c>
      <c r="D13" s="16" t="s">
        <v>13</v>
      </c>
      <c r="E13" s="17">
        <f>E10+E12+E11</f>
        <v>8064</v>
      </c>
      <c r="F13" s="19" t="s">
        <v>70</v>
      </c>
      <c r="G13" s="2">
        <f>SUM('2021'!B7,'2022'!B7)</f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hidden="1"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>
      <c r="F15" s="41" t="s">
        <v>71</v>
      </c>
      <c r="G15" s="2">
        <f>G11-G13</f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>
      <c r="A16" s="3" t="s">
        <v>14</v>
      </c>
      <c r="B16" s="2">
        <v>750</v>
      </c>
      <c r="D16" s="3" t="s">
        <v>15</v>
      </c>
      <c r="E16" s="2">
        <v>20</v>
      </c>
      <c r="F16" s="5"/>
      <c r="G16" s="5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>
      <c r="A17" s="3" t="s">
        <v>16</v>
      </c>
      <c r="B17" s="2">
        <v>700</v>
      </c>
      <c r="D17" s="3" t="s">
        <v>17</v>
      </c>
      <c r="E17" s="14">
        <f>(B22-E28)*E27</f>
        <v>-45</v>
      </c>
      <c r="F17" s="5"/>
      <c r="G17" s="5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>
      <c r="A18" s="3" t="s">
        <v>18</v>
      </c>
      <c r="B18" s="2">
        <v>273</v>
      </c>
      <c r="D18" s="3" t="s">
        <v>19</v>
      </c>
      <c r="E18" s="2">
        <f>ROUND((B25-E26)*E25,0)</f>
        <v>306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>
      <c r="A19" s="3" t="s">
        <v>20</v>
      </c>
      <c r="B19" s="2">
        <v>1133</v>
      </c>
      <c r="D19" s="3" t="s">
        <v>21</v>
      </c>
      <c r="E19" s="47">
        <v>500</v>
      </c>
      <c r="F19" s="44"/>
      <c r="G19" s="45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>
      <c r="B20" s="17">
        <f>SUM(B16:B19)</f>
        <v>2856</v>
      </c>
      <c r="F20" s="46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>
      <c r="D21" s="12" t="s">
        <v>22</v>
      </c>
      <c r="F21" s="19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>
      <c r="A22" s="20" t="s">
        <v>64</v>
      </c>
      <c r="B22" s="2">
        <v>25</v>
      </c>
      <c r="D22" s="3" t="s">
        <v>23</v>
      </c>
      <c r="E22" s="21">
        <v>7.5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>
      <c r="A23" s="3" t="s">
        <v>24</v>
      </c>
      <c r="D23" s="3" t="s">
        <v>61</v>
      </c>
      <c r="E23" s="48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>
      <c r="D24" s="3" t="s">
        <v>25</v>
      </c>
      <c r="E24" s="24">
        <f>'Averages over 4 years'!F11</f>
        <v>128</v>
      </c>
      <c r="F24" s="30" t="s">
        <v>73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>
      <c r="A25" s="20" t="s">
        <v>63</v>
      </c>
      <c r="B25" s="2">
        <v>25</v>
      </c>
      <c r="D25" s="3" t="s">
        <v>26</v>
      </c>
      <c r="E25" s="24">
        <f>'Averages over 4 years'!D11</f>
        <v>61.25</v>
      </c>
      <c r="F25" s="30" t="s">
        <v>73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>
      <c r="A26" s="3" t="s">
        <v>28</v>
      </c>
      <c r="D26" s="3" t="s">
        <v>27</v>
      </c>
      <c r="E26" s="2">
        <v>20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pans="1:256">
      <c r="A27" s="51" t="s">
        <v>65</v>
      </c>
      <c r="D27" s="3" t="s">
        <v>29</v>
      </c>
      <c r="E27" s="24">
        <f>'Averages over 4 years'!E11</f>
        <v>15</v>
      </c>
      <c r="F27" s="30" t="s">
        <v>73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>
      <c r="D28" s="3" t="s">
        <v>30</v>
      </c>
      <c r="E28" s="2">
        <v>28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ht="32" customHeight="1">
      <c r="A29" s="61" t="s">
        <v>31</v>
      </c>
      <c r="B29" s="62"/>
      <c r="D29" s="49" t="s">
        <v>62</v>
      </c>
      <c r="E29" s="50">
        <v>500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>
      <c r="A30" s="22" t="s">
        <v>32</v>
      </c>
      <c r="D30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>
      <c r="A31" s="22" t="s">
        <v>33</v>
      </c>
      <c r="D31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>
      <c r="A32" s="22" t="s">
        <v>34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>
      <c r="A33" s="22" t="s">
        <v>35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>
      <c r="A35" s="22" t="s">
        <v>36</v>
      </c>
    </row>
    <row r="36" spans="1:256">
      <c r="A36" s="22" t="s">
        <v>37</v>
      </c>
    </row>
    <row r="37" spans="1:256">
      <c r="A37" s="22" t="s">
        <v>38</v>
      </c>
    </row>
    <row r="38" spans="1:256">
      <c r="A38" s="22" t="s">
        <v>39</v>
      </c>
    </row>
    <row r="40" spans="1:256">
      <c r="A40" s="12"/>
    </row>
  </sheetData>
  <mergeCells count="2">
    <mergeCell ref="F10:G10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40"/>
  <sheetViews>
    <sheetView workbookViewId="0">
      <selection activeCell="E16" sqref="E16"/>
    </sheetView>
  </sheetViews>
  <sheetFormatPr defaultColWidth="10" defaultRowHeight="15.5"/>
  <cols>
    <col min="1" max="1" width="37.453125" style="3" customWidth="1"/>
    <col min="2" max="2" width="10.90625" style="2" customWidth="1"/>
    <col min="3" max="3" width="4.81640625" style="3" customWidth="1"/>
    <col min="4" max="4" width="28.6328125" style="3" customWidth="1"/>
    <col min="5" max="5" width="10.90625" style="2" customWidth="1"/>
    <col min="6" max="6" width="34.453125" style="4" customWidth="1"/>
    <col min="7" max="7" width="10.54296875" style="4" bestFit="1" customWidth="1"/>
    <col min="8" max="16" width="13.54296875" style="4" customWidth="1"/>
    <col min="17" max="16384" width="10" style="5"/>
  </cols>
  <sheetData>
    <row r="1" spans="1:256" ht="23">
      <c r="A1" s="1" t="s">
        <v>66</v>
      </c>
      <c r="B1" s="55">
        <v>2023</v>
      </c>
      <c r="I1" s="4">
        <v>2021</v>
      </c>
    </row>
    <row r="2" spans="1:256" hidden="1"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s="13" customFormat="1">
      <c r="A3" s="10" t="s">
        <v>0</v>
      </c>
      <c r="B3" s="11"/>
      <c r="C3" s="12"/>
      <c r="D3" s="10" t="s">
        <v>1</v>
      </c>
      <c r="E3" s="11"/>
    </row>
    <row r="4" spans="1:256"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>
      <c r="A5" s="3" t="s">
        <v>2</v>
      </c>
      <c r="B5" s="2">
        <f>B20</f>
        <v>2856</v>
      </c>
      <c r="D5" s="3" t="s">
        <v>3</v>
      </c>
      <c r="E5" s="2">
        <f>E19*E22</f>
        <v>3750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>
      <c r="A6" s="3" t="s">
        <v>4</v>
      </c>
      <c r="B6" s="23">
        <f>'Averages over 4 years'!C13</f>
        <v>1000</v>
      </c>
      <c r="D6" s="3" t="s">
        <v>5</v>
      </c>
      <c r="E6" s="23">
        <f>E24*E16</f>
        <v>2560</v>
      </c>
      <c r="F6" s="30" t="s">
        <v>73</v>
      </c>
      <c r="G6" s="3"/>
      <c r="H6" s="3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>
      <c r="A7" s="3" t="s">
        <v>51</v>
      </c>
      <c r="B7" s="31">
        <f>'2022'!G15</f>
        <v>0</v>
      </c>
      <c r="D7" s="3" t="s">
        <v>6</v>
      </c>
      <c r="E7" s="2">
        <f>E18</f>
        <v>306</v>
      </c>
      <c r="F7" s="57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>
      <c r="A8" s="3" t="s">
        <v>7</v>
      </c>
      <c r="B8" s="27">
        <v>400</v>
      </c>
      <c r="D8" s="3" t="s">
        <v>8</v>
      </c>
      <c r="E8" s="29">
        <f>E17</f>
        <v>-45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>
      <c r="A9" s="3" t="s">
        <v>9</v>
      </c>
      <c r="B9" s="2">
        <v>0</v>
      </c>
      <c r="F9" s="15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>
      <c r="A10" s="16" t="s">
        <v>10</v>
      </c>
      <c r="B10" s="17">
        <f>SUM(B5:B9)</f>
        <v>4256</v>
      </c>
      <c r="D10" s="16" t="s">
        <v>11</v>
      </c>
      <c r="E10" s="17">
        <f>SUM(E5:E9)</f>
        <v>6571</v>
      </c>
      <c r="F10" s="59" t="s">
        <v>69</v>
      </c>
      <c r="G10" s="60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>
      <c r="D11" s="19"/>
      <c r="E11" s="4"/>
      <c r="F11" s="40" t="s">
        <v>55</v>
      </c>
      <c r="G11" s="2">
        <f>'2021'!G14</f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>
      <c r="A12" s="26" t="s">
        <v>50</v>
      </c>
      <c r="B12" s="25">
        <f>E13-B10-B11</f>
        <v>6123</v>
      </c>
      <c r="D12" s="3" t="s">
        <v>49</v>
      </c>
      <c r="E12" s="2">
        <f>'2022'!B12</f>
        <v>3808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>
      <c r="A13" s="18" t="s">
        <v>12</v>
      </c>
      <c r="B13" s="17">
        <f>B10+B11+B12</f>
        <v>10379</v>
      </c>
      <c r="D13" s="16" t="s">
        <v>13</v>
      </c>
      <c r="E13" s="17">
        <f>E10+E12+E11</f>
        <v>10379</v>
      </c>
      <c r="F13" s="19" t="s">
        <v>70</v>
      </c>
      <c r="G13" s="2">
        <f>SUM('2021'!B7,'2022'!B7,B7)</f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ht="15.5" hidden="1" customHeight="1"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>
      <c r="F15" s="41" t="s">
        <v>71</v>
      </c>
      <c r="G15" s="2">
        <f>G11-G13</f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>
      <c r="A16" s="3" t="s">
        <v>14</v>
      </c>
      <c r="B16" s="2">
        <v>750</v>
      </c>
      <c r="D16" s="3" t="s">
        <v>15</v>
      </c>
      <c r="E16" s="2">
        <v>20</v>
      </c>
      <c r="F16" s="5"/>
      <c r="G16" s="5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>
      <c r="A17" s="3" t="s">
        <v>16</v>
      </c>
      <c r="B17" s="2">
        <v>700</v>
      </c>
      <c r="D17" s="3" t="s">
        <v>17</v>
      </c>
      <c r="E17" s="14">
        <f>(B22-E28)*E27</f>
        <v>-45</v>
      </c>
      <c r="F17" s="5"/>
      <c r="G17" s="5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>
      <c r="A18" s="3" t="s">
        <v>18</v>
      </c>
      <c r="B18" s="2">
        <v>273</v>
      </c>
      <c r="D18" s="3" t="s">
        <v>19</v>
      </c>
      <c r="E18" s="2">
        <f>ROUND((B25-E26)*E25,0)</f>
        <v>306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>
      <c r="A19" s="3" t="s">
        <v>20</v>
      </c>
      <c r="B19" s="2">
        <v>1133</v>
      </c>
      <c r="D19" s="3" t="s">
        <v>21</v>
      </c>
      <c r="E19" s="47">
        <v>500</v>
      </c>
      <c r="F19" s="44"/>
      <c r="G19" s="45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>
      <c r="B20" s="17">
        <f>SUM(B16:B19)</f>
        <v>2856</v>
      </c>
      <c r="F20" s="46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>
      <c r="D21" s="12" t="s">
        <v>22</v>
      </c>
      <c r="F21" s="19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>
      <c r="A22" s="20" t="s">
        <v>64</v>
      </c>
      <c r="B22" s="2">
        <v>25</v>
      </c>
      <c r="D22" s="3" t="s">
        <v>23</v>
      </c>
      <c r="E22" s="21">
        <v>7.5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>
      <c r="A23" s="3" t="s">
        <v>24</v>
      </c>
      <c r="D23" s="3" t="s">
        <v>61</v>
      </c>
      <c r="E23" s="48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>
      <c r="D24" s="3" t="s">
        <v>25</v>
      </c>
      <c r="E24" s="24">
        <f>'Averages over 4 years'!F11</f>
        <v>128</v>
      </c>
      <c r="F24" s="30" t="s">
        <v>73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>
      <c r="A25" s="20" t="s">
        <v>63</v>
      </c>
      <c r="B25" s="2">
        <v>25</v>
      </c>
      <c r="D25" s="3" t="s">
        <v>26</v>
      </c>
      <c r="E25" s="24">
        <f>'Averages over 4 years'!D11</f>
        <v>61.25</v>
      </c>
      <c r="F25" s="30" t="s">
        <v>73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>
      <c r="A26" s="3" t="s">
        <v>28</v>
      </c>
      <c r="D26" s="3" t="s">
        <v>27</v>
      </c>
      <c r="E26" s="2">
        <v>20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pans="1:256">
      <c r="A27" s="51" t="s">
        <v>65</v>
      </c>
      <c r="D27" s="3" t="s">
        <v>29</v>
      </c>
      <c r="E27" s="24">
        <f>'Averages over 4 years'!E11</f>
        <v>15</v>
      </c>
      <c r="F27" s="30" t="s">
        <v>73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>
      <c r="D28" s="3" t="s">
        <v>30</v>
      </c>
      <c r="E28" s="2">
        <v>28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ht="32" customHeight="1">
      <c r="A29" s="61" t="s">
        <v>31</v>
      </c>
      <c r="B29" s="62"/>
      <c r="D29" s="49" t="s">
        <v>62</v>
      </c>
      <c r="E29" s="50">
        <v>500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>
      <c r="A30" s="22" t="s">
        <v>32</v>
      </c>
      <c r="D30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>
      <c r="A31" s="22" t="s">
        <v>33</v>
      </c>
      <c r="D31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>
      <c r="A32" s="22" t="s">
        <v>34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>
      <c r="A33" s="22" t="s">
        <v>35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>
      <c r="A35" s="22" t="s">
        <v>36</v>
      </c>
    </row>
    <row r="36" spans="1:256">
      <c r="A36" s="22" t="s">
        <v>37</v>
      </c>
    </row>
    <row r="37" spans="1:256">
      <c r="A37" s="22" t="s">
        <v>38</v>
      </c>
    </row>
    <row r="38" spans="1:256">
      <c r="A38" s="22" t="s">
        <v>39</v>
      </c>
    </row>
    <row r="40" spans="1:256">
      <c r="A40" s="12"/>
    </row>
  </sheetData>
  <mergeCells count="2">
    <mergeCell ref="F10:G10"/>
    <mergeCell ref="A29:B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</vt:lpstr>
      <vt:lpstr>Averages over 4 years</vt:lpstr>
      <vt:lpstr>2021</vt:lpstr>
      <vt:lpstr>2022</vt:lpstr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Phil</cp:lastModifiedBy>
  <dcterms:created xsi:type="dcterms:W3CDTF">2020-06-23T13:36:29Z</dcterms:created>
  <dcterms:modified xsi:type="dcterms:W3CDTF">2021-01-31T11:46:31Z</dcterms:modified>
</cp:coreProperties>
</file>