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790" yWindow="30" windowWidth="15360" windowHeight="8250" tabRatio="623" activeTab="1"/>
  </bookViews>
  <sheets>
    <sheet name="Di's Summary" sheetId="21040" r:id="rId1"/>
    <sheet name="Summary" sheetId="1" r:id="rId2"/>
    <sheet name="TRIP_ACCOUNTS" sheetId="2" r:id="rId3"/>
    <sheet name="MAINTENANCE" sheetId="3" r:id="rId4"/>
    <sheet name="LATE BANKING" sheetId="3356" r:id="rId5"/>
    <sheet name="OTHER COSTS" sheetId="21039" r:id="rId6"/>
    <sheet name="PROVISIONS &amp; SUBS" sheetId="40" r:id="rId7"/>
  </sheets>
  <definedNames>
    <definedName name="_xlnm.Print_Area" localSheetId="0">'Di''s Summary'!$A$1:$E$19</definedName>
    <definedName name="_xlnm.Print_Area" localSheetId="4">'LATE BANKING'!$A$1:$Y$41</definedName>
    <definedName name="_xlnm.Print_Area" localSheetId="3">MAINTENANCE!$A$1:$BR$62</definedName>
    <definedName name="_xlnm.Print_Area" localSheetId="5">'OTHER COSTS'!$A$4:$BS$82</definedName>
    <definedName name="_xlnm.Print_Area" localSheetId="6">'PROVISIONS &amp; SUBS'!$A$1:$J$45</definedName>
    <definedName name="_xlnm.Print_Area" localSheetId="1">Summary!$A$2:$T$121</definedName>
    <definedName name="_xlnm.Print_Area" localSheetId="2">TRIP_ACCOUNTS!$A$1:$T$145</definedName>
    <definedName name="_xlnm.Print_Titles" localSheetId="4">'LATE BANKING'!$1:$3</definedName>
    <definedName name="_xlnm.Print_Titles" localSheetId="3">MAINTENANCE!$1:$2</definedName>
    <definedName name="_xlnm.Print_Titles" localSheetId="5">'OTHER COSTS'!$A:$A,'OTHER COSTS'!$1:$3</definedName>
    <definedName name="_xlnm.Print_Titles" localSheetId="6">'PROVISIONS &amp; SUBS'!$1:$4</definedName>
    <definedName name="_xlnm.Print_Titles" localSheetId="1">Summary!$2:$2</definedName>
    <definedName name="_xlnm.Print_Titles" localSheetId="2">TRIP_ACCOUNTS!$1:$2</definedName>
    <definedName name="SUMMARY">Summary!$A$3:$T$121</definedName>
  </definedNames>
  <calcPr calcId="124519"/>
</workbook>
</file>

<file path=xl/calcChain.xml><?xml version="1.0" encoding="utf-8"?>
<calcChain xmlns="http://schemas.openxmlformats.org/spreadsheetml/2006/main">
  <c r="I49" i="1"/>
  <c r="E99"/>
  <c r="D99"/>
  <c r="C99"/>
  <c r="N29" i="2"/>
  <c r="M29"/>
  <c r="L29"/>
  <c r="K29"/>
  <c r="J29"/>
  <c r="N28"/>
  <c r="M28"/>
  <c r="N27"/>
  <c r="N31" s="1"/>
  <c r="M27"/>
  <c r="J27"/>
  <c r="N23"/>
  <c r="N24" s="1"/>
  <c r="M23"/>
  <c r="M24" s="1"/>
  <c r="L23"/>
  <c r="L24" s="1"/>
  <c r="K23"/>
  <c r="K24" s="1"/>
  <c r="J23"/>
  <c r="J24" s="1"/>
  <c r="N18"/>
  <c r="M18"/>
  <c r="L18"/>
  <c r="K18"/>
  <c r="J18"/>
  <c r="J12"/>
  <c r="K12" s="1"/>
  <c r="L12" s="1"/>
  <c r="M12" s="1"/>
  <c r="N12" s="1"/>
  <c r="BT63" i="21039"/>
  <c r="BT16"/>
  <c r="BT15"/>
  <c r="BT14"/>
  <c r="BT13"/>
  <c r="BT12"/>
  <c r="BT11"/>
  <c r="BT10"/>
  <c r="BT9"/>
  <c r="BT8"/>
  <c r="BT7"/>
  <c r="BT6"/>
  <c r="BT67"/>
  <c r="BT62"/>
  <c r="BT72"/>
  <c r="BT71"/>
  <c r="BT70"/>
  <c r="BT69"/>
  <c r="M32" i="2" l="1"/>
  <c r="M33" s="1"/>
  <c r="M19"/>
  <c r="M31"/>
  <c r="N32"/>
  <c r="N33" s="1"/>
  <c r="N34" s="1"/>
  <c r="N19"/>
  <c r="S87" l="1"/>
  <c r="D30" i="1"/>
  <c r="D49"/>
  <c r="S17"/>
  <c r="H26" i="40"/>
  <c r="L17" i="1"/>
  <c r="L16"/>
  <c r="H14"/>
  <c r="H15"/>
  <c r="G97"/>
  <c r="D94"/>
  <c r="J41"/>
  <c r="B6" i="3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43" i="2"/>
  <c r="B6"/>
  <c r="H81" i="1"/>
  <c r="H80"/>
  <c r="H79"/>
  <c r="H78"/>
  <c r="H77"/>
  <c r="H76"/>
  <c r="H75"/>
  <c r="H74"/>
  <c r="H73"/>
  <c r="H72"/>
  <c r="G18"/>
  <c r="E5" i="21040"/>
  <c r="P18" i="1"/>
  <c r="P17"/>
  <c r="Y89"/>
  <c r="X89"/>
  <c r="W89"/>
  <c r="S18"/>
  <c r="H100"/>
  <c r="H99"/>
  <c r="H98"/>
  <c r="H97"/>
  <c r="H96"/>
  <c r="H95"/>
  <c r="H94"/>
  <c r="H93"/>
  <c r="H92"/>
  <c r="H117"/>
  <c r="H118"/>
  <c r="T59"/>
  <c r="BT81" i="21039"/>
  <c r="BT80"/>
  <c r="BT79"/>
  <c r="BT78"/>
  <c r="BT77"/>
  <c r="BT76"/>
  <c r="BT75"/>
  <c r="BT74"/>
  <c r="BT28"/>
  <c r="L80" i="1"/>
  <c r="BT27" i="21039"/>
  <c r="L79" i="1"/>
  <c r="H86"/>
  <c r="Y88"/>
  <c r="X88"/>
  <c r="W88"/>
  <c r="Y83"/>
  <c r="X83"/>
  <c r="W83"/>
  <c r="Y82"/>
  <c r="X82"/>
  <c r="W82"/>
  <c r="N85"/>
  <c r="W86"/>
  <c r="X86"/>
  <c r="Y86"/>
  <c r="W87"/>
  <c r="X87"/>
  <c r="Y87"/>
  <c r="X91"/>
  <c r="Y91"/>
  <c r="Z91"/>
  <c r="X92"/>
  <c r="Y92"/>
  <c r="Z92"/>
  <c r="AA91"/>
  <c r="X93"/>
  <c r="Y93"/>
  <c r="Z93"/>
  <c r="AA92"/>
  <c r="X94"/>
  <c r="Y94"/>
  <c r="Z94"/>
  <c r="AA93"/>
  <c r="X95"/>
  <c r="Y95"/>
  <c r="Z95"/>
  <c r="AA94"/>
  <c r="X96"/>
  <c r="Y96"/>
  <c r="Z96"/>
  <c r="AA95"/>
  <c r="X97"/>
  <c r="Y97"/>
  <c r="Z97"/>
  <c r="AA96"/>
  <c r="N98"/>
  <c r="T98"/>
  <c r="X98"/>
  <c r="Y98"/>
  <c r="Z98"/>
  <c r="AA97"/>
  <c r="N99"/>
  <c r="T99"/>
  <c r="X99"/>
  <c r="Y99"/>
  <c r="Z99"/>
  <c r="AA98"/>
  <c r="N100"/>
  <c r="T100"/>
  <c r="X100"/>
  <c r="Y100"/>
  <c r="Z100"/>
  <c r="AA99"/>
  <c r="N101"/>
  <c r="T101"/>
  <c r="X101"/>
  <c r="Y101"/>
  <c r="Z101"/>
  <c r="AA100"/>
  <c r="AA101"/>
  <c r="X76"/>
  <c r="W76"/>
  <c r="AO41" i="21039"/>
  <c r="U141" i="2"/>
  <c r="B46" i="1" s="1"/>
  <c r="I39" s="1"/>
  <c r="U128" i="2"/>
  <c r="B27" i="1" s="1"/>
  <c r="I23" s="1"/>
  <c r="K23" s="1"/>
  <c r="H10" i="40"/>
  <c r="H12"/>
  <c r="D10"/>
  <c r="D12"/>
  <c r="B10"/>
  <c r="B12"/>
  <c r="C41" i="3356"/>
  <c r="B41"/>
  <c r="B42"/>
  <c r="B19" i="2"/>
  <c r="D19"/>
  <c r="C19"/>
  <c r="H17" i="1"/>
  <c r="C6" i="21040" s="1"/>
  <c r="L14" i="1"/>
  <c r="L15"/>
  <c r="L66"/>
  <c r="L65"/>
  <c r="L64"/>
  <c r="L62"/>
  <c r="L98"/>
  <c r="L97"/>
  <c r="L96"/>
  <c r="L95"/>
  <c r="L94"/>
  <c r="L93"/>
  <c r="L92"/>
  <c r="BT40" i="21039"/>
  <c r="BT39"/>
  <c r="BT38"/>
  <c r="BT37"/>
  <c r="BT36"/>
  <c r="BT35"/>
  <c r="BT34"/>
  <c r="BT17"/>
  <c r="L69" i="1"/>
  <c r="L68"/>
  <c r="N78"/>
  <c r="W79"/>
  <c r="X79"/>
  <c r="Y79"/>
  <c r="W80"/>
  <c r="X80"/>
  <c r="Y80"/>
  <c r="W81"/>
  <c r="X81"/>
  <c r="Y81"/>
  <c r="BT33" i="21039"/>
  <c r="BT32"/>
  <c r="BT31"/>
  <c r="BT30"/>
  <c r="BT29"/>
  <c r="L81" i="1"/>
  <c r="BT26" i="21039"/>
  <c r="L78" i="1"/>
  <c r="BT25" i="21039"/>
  <c r="L77" i="1"/>
  <c r="BT24" i="21039"/>
  <c r="L76" i="1"/>
  <c r="BT23" i="21039"/>
  <c r="L75" i="1"/>
  <c r="BT22" i="21039"/>
  <c r="L74" i="1"/>
  <c r="BT21" i="21039"/>
  <c r="L73" i="1"/>
  <c r="BT20" i="21039"/>
  <c r="L72" i="1"/>
  <c r="BT19" i="21039"/>
  <c r="L71" i="1"/>
  <c r="BT18" i="21039"/>
  <c r="L70" i="1"/>
  <c r="L67"/>
  <c r="H71"/>
  <c r="H70"/>
  <c r="H69"/>
  <c r="H68"/>
  <c r="H67"/>
  <c r="AF41" i="21039"/>
  <c r="D39" i="3356"/>
  <c r="D25"/>
  <c r="D40"/>
  <c r="D41"/>
  <c r="D42"/>
  <c r="B18" i="40"/>
  <c r="C25" i="3356"/>
  <c r="L7" i="1"/>
  <c r="C43" i="2"/>
  <c r="C50" s="1"/>
  <c r="B50"/>
  <c r="S111"/>
  <c r="S112"/>
  <c r="S113" s="1"/>
  <c r="R111"/>
  <c r="R112"/>
  <c r="Q111"/>
  <c r="Q112"/>
  <c r="P111"/>
  <c r="P112"/>
  <c r="O111"/>
  <c r="O112"/>
  <c r="N111"/>
  <c r="N112"/>
  <c r="M110"/>
  <c r="M111"/>
  <c r="M112"/>
  <c r="L110"/>
  <c r="L111"/>
  <c r="L112"/>
  <c r="K111"/>
  <c r="K112"/>
  <c r="J111"/>
  <c r="J112"/>
  <c r="I110"/>
  <c r="I111"/>
  <c r="I112"/>
  <c r="H111"/>
  <c r="H112"/>
  <c r="G110"/>
  <c r="G111"/>
  <c r="G112"/>
  <c r="F110"/>
  <c r="F111"/>
  <c r="F112"/>
  <c r="E110"/>
  <c r="E111"/>
  <c r="E112"/>
  <c r="E41" i="3356"/>
  <c r="E42"/>
  <c r="T62" i="3"/>
  <c r="T65"/>
  <c r="S41" i="21039"/>
  <c r="S82"/>
  <c r="S23" i="2" s="1"/>
  <c r="S24" s="1"/>
  <c r="S62" i="3"/>
  <c r="R27" i="2"/>
  <c r="R41" i="21039"/>
  <c r="R82"/>
  <c r="R62" i="3"/>
  <c r="Q27" i="2"/>
  <c r="Q41" i="21039"/>
  <c r="Q82"/>
  <c r="Q62" i="3"/>
  <c r="P27" i="2"/>
  <c r="P41" i="21039"/>
  <c r="P82"/>
  <c r="P23" i="2" s="1"/>
  <c r="P24" s="1"/>
  <c r="P62" i="3"/>
  <c r="P65"/>
  <c r="O41" i="21039"/>
  <c r="O82"/>
  <c r="O23" i="2" s="1"/>
  <c r="O24" s="1"/>
  <c r="O62" i="3"/>
  <c r="N41" i="21039"/>
  <c r="N82"/>
  <c r="N62" i="3"/>
  <c r="M41" i="21039"/>
  <c r="M82"/>
  <c r="M62" i="3"/>
  <c r="L27" i="2" s="1"/>
  <c r="L41" i="21039"/>
  <c r="L28" i="2" s="1"/>
  <c r="L82" i="21039"/>
  <c r="L62" i="3"/>
  <c r="K27" i="2" s="1"/>
  <c r="K41" i="21039"/>
  <c r="K28" i="2" s="1"/>
  <c r="K82" i="21039"/>
  <c r="K62" i="3"/>
  <c r="J41" i="21039"/>
  <c r="J28" i="2" s="1"/>
  <c r="J82" i="21039"/>
  <c r="J62" i="3"/>
  <c r="I27" i="2"/>
  <c r="I41" i="21039"/>
  <c r="I82"/>
  <c r="I62" i="3"/>
  <c r="H27" i="2"/>
  <c r="H41" i="21039"/>
  <c r="H82"/>
  <c r="H62" i="3"/>
  <c r="H65"/>
  <c r="G41" i="21039"/>
  <c r="G82"/>
  <c r="F41"/>
  <c r="F28" i="2" s="1"/>
  <c r="F82" i="21039"/>
  <c r="F23" i="2" s="1"/>
  <c r="F24" s="1"/>
  <c r="E41" i="21039"/>
  <c r="E82"/>
  <c r="E23" i="2" s="1"/>
  <c r="E24" s="1"/>
  <c r="D41" i="21039"/>
  <c r="D82"/>
  <c r="C41"/>
  <c r="C82"/>
  <c r="C23" i="2" s="1"/>
  <c r="C24" s="1"/>
  <c r="B41" i="21039"/>
  <c r="B28" i="2" s="1"/>
  <c r="B82" i="21039"/>
  <c r="B23" i="2" s="1"/>
  <c r="B24" s="1"/>
  <c r="BQ3" i="3"/>
  <c r="BP4" i="21039" s="1"/>
  <c r="U144" i="2"/>
  <c r="C62" i="3"/>
  <c r="B27" i="2"/>
  <c r="D62" i="3"/>
  <c r="C27" i="2"/>
  <c r="E62" i="3"/>
  <c r="D27" i="2"/>
  <c r="F62" i="3"/>
  <c r="F65"/>
  <c r="G62"/>
  <c r="F27" i="2"/>
  <c r="U62" i="3"/>
  <c r="U65"/>
  <c r="V62"/>
  <c r="C64" i="2"/>
  <c r="W62" i="3"/>
  <c r="D64" i="2"/>
  <c r="X62" i="3"/>
  <c r="E64" i="2"/>
  <c r="Y62" i="3"/>
  <c r="F64" i="2"/>
  <c r="Z62" i="3"/>
  <c r="G64" i="2"/>
  <c r="AA62" i="3"/>
  <c r="H64" i="2"/>
  <c r="AB62" i="3"/>
  <c r="I64" i="2"/>
  <c r="AC62" i="3"/>
  <c r="AC65"/>
  <c r="AD62"/>
  <c r="AE62"/>
  <c r="L64" i="2"/>
  <c r="AF62" i="3"/>
  <c r="M64" i="2"/>
  <c r="AG62" i="3"/>
  <c r="AG65"/>
  <c r="AH62"/>
  <c r="AI62"/>
  <c r="P64" i="2"/>
  <c r="AJ62" i="3"/>
  <c r="Q64" i="2"/>
  <c r="AK62" i="3"/>
  <c r="AK65"/>
  <c r="AL62"/>
  <c r="AL65"/>
  <c r="AM62"/>
  <c r="B101" i="2"/>
  <c r="AN62" i="3"/>
  <c r="AN65"/>
  <c r="AO62"/>
  <c r="D101" i="2"/>
  <c r="AP62" i="3"/>
  <c r="E101" i="2"/>
  <c r="AQ62" i="3"/>
  <c r="F101" i="2"/>
  <c r="AR62" i="3"/>
  <c r="G101" i="2"/>
  <c r="AS62" i="3"/>
  <c r="AS65"/>
  <c r="AT62"/>
  <c r="I101" i="2"/>
  <c r="AU62" i="3"/>
  <c r="J101" i="2" s="1"/>
  <c r="AV62" i="3"/>
  <c r="K101" i="2"/>
  <c r="AW62" i="3"/>
  <c r="L101" i="2"/>
  <c r="AX62" i="3"/>
  <c r="AX65"/>
  <c r="AY62"/>
  <c r="N101" i="2"/>
  <c r="AZ62" i="3"/>
  <c r="O101" i="2"/>
  <c r="BA62" i="3"/>
  <c r="BA65"/>
  <c r="BB62"/>
  <c r="BB65"/>
  <c r="BC62"/>
  <c r="R101" i="2"/>
  <c r="BD62" i="3"/>
  <c r="S101" i="2"/>
  <c r="BE62" i="3"/>
  <c r="B138" i="2"/>
  <c r="C138"/>
  <c r="D138"/>
  <c r="E138"/>
  <c r="J46" i="1"/>
  <c r="L58"/>
  <c r="L59"/>
  <c r="L60"/>
  <c r="L61"/>
  <c r="L63"/>
  <c r="BU12" i="3"/>
  <c r="C61" i="1"/>
  <c r="E61" s="1"/>
  <c r="G61"/>
  <c r="BU7" i="3"/>
  <c r="C56" i="1"/>
  <c r="E56" s="1"/>
  <c r="G56"/>
  <c r="W74"/>
  <c r="X74"/>
  <c r="Y74"/>
  <c r="W73"/>
  <c r="X73"/>
  <c r="Y73"/>
  <c r="BU39" i="3"/>
  <c r="C88" i="1"/>
  <c r="E88" s="1"/>
  <c r="G88"/>
  <c r="W66"/>
  <c r="X66"/>
  <c r="Y71"/>
  <c r="X71"/>
  <c r="W71"/>
  <c r="Y70"/>
  <c r="X70"/>
  <c r="W70"/>
  <c r="Y69"/>
  <c r="X69"/>
  <c r="W69"/>
  <c r="Y68"/>
  <c r="X68"/>
  <c r="W68"/>
  <c r="Y67"/>
  <c r="X67"/>
  <c r="W67"/>
  <c r="Y66"/>
  <c r="H44" i="40"/>
  <c r="J22" i="1"/>
  <c r="J27"/>
  <c r="B12" i="2"/>
  <c r="N146"/>
  <c r="BD41" i="21039"/>
  <c r="BD82"/>
  <c r="B134" i="2" s="1"/>
  <c r="B135" s="1"/>
  <c r="C149"/>
  <c r="C148"/>
  <c r="C139"/>
  <c r="C140"/>
  <c r="D149"/>
  <c r="D148"/>
  <c r="D139"/>
  <c r="D140"/>
  <c r="E149"/>
  <c r="E148"/>
  <c r="E139"/>
  <c r="E140"/>
  <c r="F146"/>
  <c r="M146"/>
  <c r="O146"/>
  <c r="P146"/>
  <c r="Q146"/>
  <c r="R146"/>
  <c r="S146"/>
  <c r="AN41" i="21039"/>
  <c r="D98" i="2"/>
  <c r="D92"/>
  <c r="E92"/>
  <c r="AR41" i="21039"/>
  <c r="H92" i="2"/>
  <c r="AS41" i="21039"/>
  <c r="I92" i="2"/>
  <c r="AU41" i="21039"/>
  <c r="K92" i="2"/>
  <c r="AW41" i="21039"/>
  <c r="M102" i="2" s="1"/>
  <c r="M105" s="1"/>
  <c r="M92"/>
  <c r="AX41" i="21039"/>
  <c r="N92" i="2"/>
  <c r="AY41" i="21039"/>
  <c r="O102" i="2" s="1"/>
  <c r="O92"/>
  <c r="AZ41" i="21039"/>
  <c r="P92" i="2"/>
  <c r="BA41" i="21039"/>
  <c r="Q92" i="2"/>
  <c r="BB41" i="21039"/>
  <c r="R92" i="2"/>
  <c r="T41" i="21039"/>
  <c r="T82"/>
  <c r="U41"/>
  <c r="U82"/>
  <c r="C60" i="2" s="1"/>
  <c r="C61" s="1"/>
  <c r="V41" i="21039"/>
  <c r="D65" i="2" s="1"/>
  <c r="V82" i="21039"/>
  <c r="D60" i="2" s="1"/>
  <c r="D61" s="1"/>
  <c r="X41" i="21039"/>
  <c r="X82"/>
  <c r="F60" i="2" s="1"/>
  <c r="F61" s="1"/>
  <c r="F55"/>
  <c r="Y41" i="21039"/>
  <c r="Y82"/>
  <c r="G55" i="2"/>
  <c r="AA41" i="21039"/>
  <c r="AA82"/>
  <c r="I60" i="2" s="1"/>
  <c r="I61" s="1"/>
  <c r="I55"/>
  <c r="AD41" i="21039"/>
  <c r="AD82"/>
  <c r="L55" i="2"/>
  <c r="AE41" i="21039"/>
  <c r="AE82"/>
  <c r="M55" i="2"/>
  <c r="B44" i="40"/>
  <c r="B46"/>
  <c r="C10"/>
  <c r="C12"/>
  <c r="E10"/>
  <c r="E12"/>
  <c r="F10"/>
  <c r="G10"/>
  <c r="G12"/>
  <c r="I10"/>
  <c r="I12"/>
  <c r="C42" i="3356"/>
  <c r="B1" i="21040"/>
  <c r="A1" i="3356"/>
  <c r="B8"/>
  <c r="B9"/>
  <c r="C8"/>
  <c r="C9"/>
  <c r="D8"/>
  <c r="F8"/>
  <c r="F9"/>
  <c r="G8"/>
  <c r="G9"/>
  <c r="H8"/>
  <c r="I8"/>
  <c r="I9"/>
  <c r="D9"/>
  <c r="E9"/>
  <c r="H9"/>
  <c r="J9"/>
  <c r="K9"/>
  <c r="L9"/>
  <c r="M9"/>
  <c r="N9"/>
  <c r="O9"/>
  <c r="P9"/>
  <c r="Q9"/>
  <c r="R9"/>
  <c r="G16"/>
  <c r="G17" s="1"/>
  <c r="G18" s="1"/>
  <c r="G19" s="1"/>
  <c r="H16"/>
  <c r="H17" s="1"/>
  <c r="H18" s="1"/>
  <c r="I16"/>
  <c r="I17" s="1"/>
  <c r="I18" s="1"/>
  <c r="J16"/>
  <c r="J17"/>
  <c r="J18" s="1"/>
  <c r="K16"/>
  <c r="K17"/>
  <c r="K18" s="1"/>
  <c r="L16"/>
  <c r="L17" s="1"/>
  <c r="L18" s="1"/>
  <c r="M16"/>
  <c r="M17" s="1"/>
  <c r="M18" s="1"/>
  <c r="N16"/>
  <c r="N17" s="1"/>
  <c r="N18" s="1"/>
  <c r="O16"/>
  <c r="O17" s="1"/>
  <c r="O18" s="1"/>
  <c r="P16"/>
  <c r="P17" s="1"/>
  <c r="P18" s="1"/>
  <c r="Q16"/>
  <c r="Q17" s="1"/>
  <c r="Q18" s="1"/>
  <c r="R16"/>
  <c r="R17"/>
  <c r="R18" s="1"/>
  <c r="S16"/>
  <c r="S17"/>
  <c r="S18" s="1"/>
  <c r="G20"/>
  <c r="H20"/>
  <c r="I20"/>
  <c r="J20"/>
  <c r="K20"/>
  <c r="L20"/>
  <c r="M20"/>
  <c r="N20"/>
  <c r="O20"/>
  <c r="P20"/>
  <c r="Q20"/>
  <c r="R20"/>
  <c r="S20"/>
  <c r="F41"/>
  <c r="F42"/>
  <c r="G41"/>
  <c r="G42"/>
  <c r="H41"/>
  <c r="I41"/>
  <c r="I42"/>
  <c r="J41"/>
  <c r="J42"/>
  <c r="K41"/>
  <c r="K42"/>
  <c r="L41"/>
  <c r="L42"/>
  <c r="M41"/>
  <c r="M42"/>
  <c r="N41"/>
  <c r="N42"/>
  <c r="O42"/>
  <c r="P42"/>
  <c r="Q42"/>
  <c r="R42"/>
  <c r="B49"/>
  <c r="C49"/>
  <c r="D49"/>
  <c r="E49"/>
  <c r="F49"/>
  <c r="G49"/>
  <c r="B51"/>
  <c r="C51"/>
  <c r="D51"/>
  <c r="E51"/>
  <c r="F51"/>
  <c r="G51"/>
  <c r="B56"/>
  <c r="C56"/>
  <c r="D56"/>
  <c r="E56"/>
  <c r="F56"/>
  <c r="G56"/>
  <c r="B62"/>
  <c r="B70"/>
  <c r="C62"/>
  <c r="C70"/>
  <c r="D62"/>
  <c r="D70"/>
  <c r="D71"/>
  <c r="D72"/>
  <c r="D73"/>
  <c r="E62"/>
  <c r="E70"/>
  <c r="E71"/>
  <c r="E72"/>
  <c r="E73"/>
  <c r="F62"/>
  <c r="G62"/>
  <c r="G70"/>
  <c r="G71"/>
  <c r="G72"/>
  <c r="G73"/>
  <c r="B69"/>
  <c r="C69"/>
  <c r="D69"/>
  <c r="E69"/>
  <c r="F69"/>
  <c r="G69"/>
  <c r="F70"/>
  <c r="H73"/>
  <c r="I73"/>
  <c r="J73"/>
  <c r="K73"/>
  <c r="L73"/>
  <c r="M73"/>
  <c r="N73"/>
  <c r="O73"/>
  <c r="P73"/>
  <c r="Q73"/>
  <c r="R73"/>
  <c r="B1" i="3"/>
  <c r="C3"/>
  <c r="B4" i="21039" s="1"/>
  <c r="D3" i="3"/>
  <c r="C4" i="21039" s="1"/>
  <c r="E3" i="3"/>
  <c r="D4" i="21039" s="1"/>
  <c r="F3" i="3"/>
  <c r="E4" i="21039"/>
  <c r="G3" i="3"/>
  <c r="F4" i="21039" s="1"/>
  <c r="H3" i="3"/>
  <c r="G4" i="21039" s="1"/>
  <c r="I3" i="3"/>
  <c r="H4" i="21039" s="1"/>
  <c r="J3" i="3"/>
  <c r="I4" i="21039"/>
  <c r="I50" s="1"/>
  <c r="K3" i="3"/>
  <c r="J4" i="21039" s="1"/>
  <c r="L3" i="3"/>
  <c r="K4" i="21039" s="1"/>
  <c r="K50" s="1"/>
  <c r="M3" i="3"/>
  <c r="L4" i="21039" s="1"/>
  <c r="N3" i="3"/>
  <c r="M4" i="21039"/>
  <c r="M50" s="1"/>
  <c r="O3" i="3"/>
  <c r="N4" i="21039" s="1"/>
  <c r="P3" i="3"/>
  <c r="O4" i="21039" s="1"/>
  <c r="Q3" i="3"/>
  <c r="P4" i="21039"/>
  <c r="P50" s="1"/>
  <c r="R3" i="3"/>
  <c r="Q4" i="21039" s="1"/>
  <c r="S3" i="3"/>
  <c r="R4" i="21039" s="1"/>
  <c r="T3" i="3"/>
  <c r="S4" i="21039" s="1"/>
  <c r="U3" i="3"/>
  <c r="T4" i="21039"/>
  <c r="T50" s="1"/>
  <c r="V3" i="3"/>
  <c r="U4" i="21039" s="1"/>
  <c r="W3" i="3"/>
  <c r="V4" i="21039" s="1"/>
  <c r="X3" i="3"/>
  <c r="W4" i="21039" s="1"/>
  <c r="Y3" i="3"/>
  <c r="X4" i="21039"/>
  <c r="Z3" i="3"/>
  <c r="Y4" i="21039" s="1"/>
  <c r="AA3" i="3"/>
  <c r="Z4" i="21039" s="1"/>
  <c r="AB3" i="3"/>
  <c r="AA4" i="21039" s="1"/>
  <c r="AC3" i="3"/>
  <c r="AB4" i="21039"/>
  <c r="AD3" i="3"/>
  <c r="AC4" i="21039" s="1"/>
  <c r="AE3" i="3"/>
  <c r="AD4" i="21039" s="1"/>
  <c r="AF3" i="3"/>
  <c r="AE4" i="21039" s="1"/>
  <c r="AG3" i="3"/>
  <c r="AF4" i="21039"/>
  <c r="AH3" i="3"/>
  <c r="AG4" i="21039" s="1"/>
  <c r="AI3" i="3"/>
  <c r="AH4" i="21039" s="1"/>
  <c r="AJ3" i="3"/>
  <c r="AI4" i="21039" s="1"/>
  <c r="AK3" i="3"/>
  <c r="AJ4" i="21039"/>
  <c r="AJ43" s="1"/>
  <c r="AL3" i="3"/>
  <c r="AK4" i="21039" s="1"/>
  <c r="AM3" i="3"/>
  <c r="AL4" i="21039" s="1"/>
  <c r="AL50" s="1"/>
  <c r="AN3" i="3"/>
  <c r="AM4" i="21039" s="1"/>
  <c r="AO3" i="3"/>
  <c r="AN4" i="21039"/>
  <c r="AN50" s="1"/>
  <c r="AP3" i="3"/>
  <c r="AO4" i="21039" s="1"/>
  <c r="AQ3" i="3"/>
  <c r="AP4" i="21039" s="1"/>
  <c r="AR3" i="3"/>
  <c r="AQ4" i="21039"/>
  <c r="AQ43" s="1"/>
  <c r="AS3" i="3"/>
  <c r="AR4" i="21039" s="1"/>
  <c r="AT3" i="3"/>
  <c r="AS4" i="21039" s="1"/>
  <c r="AU3" i="3"/>
  <c r="AT4" i="21039" s="1"/>
  <c r="AV3" i="3"/>
  <c r="AU4" i="21039"/>
  <c r="AU50" s="1"/>
  <c r="AW3" i="3"/>
  <c r="AV4" i="21039" s="1"/>
  <c r="AX3" i="3"/>
  <c r="AW4" i="21039" s="1"/>
  <c r="AY3" i="3"/>
  <c r="AX4" i="21039" s="1"/>
  <c r="AZ3" i="3"/>
  <c r="AY4" i="21039"/>
  <c r="AY50" s="1"/>
  <c r="BA3" i="3"/>
  <c r="AZ4" i="21039" s="1"/>
  <c r="BB3" i="3"/>
  <c r="BA4" i="21039" s="1"/>
  <c r="BC3" i="3"/>
  <c r="BB4" i="21039" s="1"/>
  <c r="BD3" i="3"/>
  <c r="BC4" i="21039" s="1"/>
  <c r="BE3" i="3"/>
  <c r="BD4" i="21039" s="1"/>
  <c r="BF3" i="3"/>
  <c r="BE4" i="21039" s="1"/>
  <c r="BG3" i="3"/>
  <c r="BF4" i="21039" s="1"/>
  <c r="BH3" i="3"/>
  <c r="BG4" i="21039"/>
  <c r="BG50" s="1"/>
  <c r="BI3" i="3"/>
  <c r="BH4" i="21039" s="1"/>
  <c r="BJ3" i="3"/>
  <c r="BI4" i="21039" s="1"/>
  <c r="BK3" i="3"/>
  <c r="BJ4" i="21039" s="1"/>
  <c r="BM3" i="3"/>
  <c r="BL4" i="21039" s="1"/>
  <c r="BL50" s="1"/>
  <c r="BN3" i="3"/>
  <c r="BM4" i="21039" s="1"/>
  <c r="BO3" i="3"/>
  <c r="BP3"/>
  <c r="BO4" i="21039" s="1"/>
  <c r="D4" i="3"/>
  <c r="C5" i="21039" s="1"/>
  <c r="E4" i="3"/>
  <c r="D5" i="21039" s="1"/>
  <c r="F4" i="3"/>
  <c r="E5" i="21039" s="1"/>
  <c r="G4" i="3"/>
  <c r="F5" i="21039"/>
  <c r="F51" s="1"/>
  <c r="H4" i="3"/>
  <c r="G5" i="21039" s="1"/>
  <c r="I4" i="3"/>
  <c r="H5" i="21039" s="1"/>
  <c r="J4" i="3"/>
  <c r="I5" i="21039" s="1"/>
  <c r="K4" i="3"/>
  <c r="J5" i="21039" s="1"/>
  <c r="J51" s="1"/>
  <c r="L4" i="3"/>
  <c r="K5" i="21039" s="1"/>
  <c r="M4" i="3"/>
  <c r="L5" i="21039" s="1"/>
  <c r="N4" i="3"/>
  <c r="M5" i="21039" s="1"/>
  <c r="O4" i="3"/>
  <c r="N5" i="21039" s="1"/>
  <c r="N44" s="1"/>
  <c r="P4" i="3"/>
  <c r="O5" i="21039" s="1"/>
  <c r="Q4" i="3"/>
  <c r="P5" i="21039" s="1"/>
  <c r="P44" s="1"/>
  <c r="R4" i="3"/>
  <c r="Q5" i="21039" s="1"/>
  <c r="S4" i="3"/>
  <c r="R5" i="21039" s="1"/>
  <c r="T4" i="3"/>
  <c r="S5" i="21039" s="1"/>
  <c r="BI4" i="3"/>
  <c r="BH5" i="21039" s="1"/>
  <c r="BJ4" i="3"/>
  <c r="BI5" i="21039" s="1"/>
  <c r="BK4" i="3"/>
  <c r="BJ5" i="21039" s="1"/>
  <c r="BL4" i="3"/>
  <c r="BK5" i="21039" s="1"/>
  <c r="BM4" i="3"/>
  <c r="BL5" i="21039" s="1"/>
  <c r="BN4" i="3"/>
  <c r="BM5" i="21039"/>
  <c r="BM44" s="1"/>
  <c r="BO4" i="3"/>
  <c r="BN5" i="21039" s="1"/>
  <c r="BP4" i="3"/>
  <c r="BO5" i="21039" s="1"/>
  <c r="BQ4" i="3"/>
  <c r="BR5" i="21039" s="1"/>
  <c r="BU5" i="3"/>
  <c r="BU6"/>
  <c r="BU8"/>
  <c r="C57" i="1"/>
  <c r="E57"/>
  <c r="BU9" i="3"/>
  <c r="C58" i="1"/>
  <c r="E58" s="1"/>
  <c r="BU10" i="3"/>
  <c r="C59" i="1"/>
  <c r="E59" s="1"/>
  <c r="G59"/>
  <c r="BU11" i="3"/>
  <c r="C60" i="1"/>
  <c r="G60"/>
  <c r="BU13" i="3"/>
  <c r="C62" i="1"/>
  <c r="E62" s="1"/>
  <c r="G62"/>
  <c r="BU14" i="3"/>
  <c r="C63" i="1"/>
  <c r="E63" s="1"/>
  <c r="G63"/>
  <c r="BU15" i="3"/>
  <c r="BU16"/>
  <c r="C65" i="1"/>
  <c r="E65"/>
  <c r="G65"/>
  <c r="BU17" i="3"/>
  <c r="C66" i="1"/>
  <c r="E66"/>
  <c r="G66"/>
  <c r="BU18" i="3"/>
  <c r="BU19"/>
  <c r="C68" i="1"/>
  <c r="E68" s="1"/>
  <c r="BU20" i="3"/>
  <c r="C69" i="1"/>
  <c r="E69" s="1"/>
  <c r="G69"/>
  <c r="BU21" i="3"/>
  <c r="C70" i="1"/>
  <c r="E70" s="1"/>
  <c r="G70"/>
  <c r="BU22" i="3"/>
  <c r="C71" i="1"/>
  <c r="E71" s="1"/>
  <c r="G71"/>
  <c r="BU23" i="3"/>
  <c r="C72" i="1"/>
  <c r="E72" s="1"/>
  <c r="G72"/>
  <c r="BU24" i="3"/>
  <c r="C73" i="1"/>
  <c r="E73" s="1"/>
  <c r="G73"/>
  <c r="BU25" i="3"/>
  <c r="C74" i="1" s="1"/>
  <c r="E74" s="1"/>
  <c r="G74" s="1"/>
  <c r="BU26" i="3"/>
  <c r="C75" i="1" s="1"/>
  <c r="E75" s="1"/>
  <c r="G75" s="1"/>
  <c r="BU27" i="3"/>
  <c r="C76" i="1" s="1"/>
  <c r="E76" s="1"/>
  <c r="G76" s="1"/>
  <c r="BU28" i="3"/>
  <c r="C77" i="1" s="1"/>
  <c r="E77" s="1"/>
  <c r="BU29" i="3"/>
  <c r="C78" i="1"/>
  <c r="E78" s="1"/>
  <c r="G78"/>
  <c r="BU30" i="3"/>
  <c r="C79" i="1" s="1"/>
  <c r="BU31" i="3"/>
  <c r="C80" i="1"/>
  <c r="E80" s="1"/>
  <c r="G80"/>
  <c r="BU32" i="3"/>
  <c r="C81" i="1"/>
  <c r="E81" s="1"/>
  <c r="G81"/>
  <c r="BU33" i="3"/>
  <c r="C82" i="1" s="1"/>
  <c r="E82" s="1"/>
  <c r="G82"/>
  <c r="BU34" i="3"/>
  <c r="C83" i="1" s="1"/>
  <c r="E83" s="1"/>
  <c r="G83" s="1"/>
  <c r="BU35" i="3"/>
  <c r="C84" i="1"/>
  <c r="E84" s="1"/>
  <c r="BU36" i="3"/>
  <c r="C85" i="1"/>
  <c r="E85" s="1"/>
  <c r="BU37" i="3"/>
  <c r="C86" i="1"/>
  <c r="E86" s="1"/>
  <c r="G86" s="1"/>
  <c r="BU38" i="3"/>
  <c r="C87" i="1"/>
  <c r="E87" s="1"/>
  <c r="G87" s="1"/>
  <c r="BU40" i="3"/>
  <c r="C89" i="1"/>
  <c r="E89" s="1"/>
  <c r="G89" s="1"/>
  <c r="BU41" i="3"/>
  <c r="C90" i="1"/>
  <c r="E90"/>
  <c r="G90"/>
  <c r="BU42" i="3"/>
  <c r="C91" i="1"/>
  <c r="E91"/>
  <c r="BU43" i="3"/>
  <c r="C92" i="1"/>
  <c r="E92" s="1"/>
  <c r="G92" s="1"/>
  <c r="BU44" i="3"/>
  <c r="C93" i="1"/>
  <c r="E93" s="1"/>
  <c r="G93" s="1"/>
  <c r="BU45" i="3"/>
  <c r="BU46"/>
  <c r="G95" i="1"/>
  <c r="BU47" i="3"/>
  <c r="G96" i="1"/>
  <c r="BU48" i="3"/>
  <c r="BU49"/>
  <c r="C98" i="1"/>
  <c r="E98" s="1"/>
  <c r="G98" s="1"/>
  <c r="BU50" i="3"/>
  <c r="BU51"/>
  <c r="G100" i="1"/>
  <c r="B52" i="3"/>
  <c r="BU52"/>
  <c r="G101" i="1"/>
  <c r="B53" i="3"/>
  <c r="BU53"/>
  <c r="G102" i="1"/>
  <c r="B54" i="3"/>
  <c r="BU54"/>
  <c r="B55"/>
  <c r="BU55"/>
  <c r="B56"/>
  <c r="BU56"/>
  <c r="B57"/>
  <c r="BU57"/>
  <c r="G106" i="1"/>
  <c r="B58" i="3"/>
  <c r="BU58"/>
  <c r="B59"/>
  <c r="BU59"/>
  <c r="B60"/>
  <c r="BU60"/>
  <c r="B61"/>
  <c r="BU61"/>
  <c r="BF62"/>
  <c r="BF65"/>
  <c r="BG62"/>
  <c r="BG65"/>
  <c r="BH62"/>
  <c r="BH65"/>
  <c r="BI62"/>
  <c r="BJ62"/>
  <c r="BJ65"/>
  <c r="BK62"/>
  <c r="BK65"/>
  <c r="BL62"/>
  <c r="BL65"/>
  <c r="BM62"/>
  <c r="BN62"/>
  <c r="BN65"/>
  <c r="BO62"/>
  <c r="BO65"/>
  <c r="BP62"/>
  <c r="BP65"/>
  <c r="BQ62"/>
  <c r="AA65"/>
  <c r="N65"/>
  <c r="Q65"/>
  <c r="Y65"/>
  <c r="AB65"/>
  <c r="AE65"/>
  <c r="AI65"/>
  <c r="AR65"/>
  <c r="AV65"/>
  <c r="BC65"/>
  <c r="BI65"/>
  <c r="BM65"/>
  <c r="BQ65"/>
  <c r="A1" i="21039"/>
  <c r="BQ4"/>
  <c r="BQ50" s="1"/>
  <c r="BQ5"/>
  <c r="BQ44" s="1"/>
  <c r="W41"/>
  <c r="Z41"/>
  <c r="AB41"/>
  <c r="J65" i="2" s="1"/>
  <c r="AC41" i="21039"/>
  <c r="AC82"/>
  <c r="K60" i="2" s="1"/>
  <c r="K61" s="1"/>
  <c r="AF82" i="21039"/>
  <c r="N60" i="2" s="1"/>
  <c r="N61" s="1"/>
  <c r="AG41" i="21039"/>
  <c r="AG82"/>
  <c r="AH41"/>
  <c r="AH82"/>
  <c r="AI41"/>
  <c r="AJ41"/>
  <c r="AJ82"/>
  <c r="R60" i="2" s="1"/>
  <c r="R61" s="1"/>
  <c r="AK41" i="21039"/>
  <c r="AK82"/>
  <c r="S60" i="2" s="1"/>
  <c r="S61" s="1"/>
  <c r="AL41" i="21039"/>
  <c r="AM41"/>
  <c r="AM82"/>
  <c r="C97" i="2" s="1"/>
  <c r="C98" s="1"/>
  <c r="AN82" i="21039"/>
  <c r="AO82"/>
  <c r="E97" i="2" s="1"/>
  <c r="E98" s="1"/>
  <c r="AP41" i="21039"/>
  <c r="AQ41"/>
  <c r="AR82"/>
  <c r="H97" i="2" s="1"/>
  <c r="AS82" i="21039"/>
  <c r="AS85" s="1"/>
  <c r="AT41"/>
  <c r="AV41"/>
  <c r="AV82"/>
  <c r="L97" i="2" s="1"/>
  <c r="L98" s="1"/>
  <c r="AW82" i="21039"/>
  <c r="M97" i="2" s="1"/>
  <c r="M98" s="1"/>
  <c r="AZ82" i="21039"/>
  <c r="P97" i="2" s="1"/>
  <c r="P98" s="1"/>
  <c r="BA82" i="21039"/>
  <c r="Q97" i="2" s="1"/>
  <c r="Q98" s="1"/>
  <c r="BC41" i="21039"/>
  <c r="BE41"/>
  <c r="BE82"/>
  <c r="BF41"/>
  <c r="BG41"/>
  <c r="BH41"/>
  <c r="BH82"/>
  <c r="BI41"/>
  <c r="BI82"/>
  <c r="BJ41"/>
  <c r="BK41"/>
  <c r="BL41"/>
  <c r="BL82"/>
  <c r="BM41"/>
  <c r="BM82"/>
  <c r="BN41"/>
  <c r="BO41"/>
  <c r="BP41"/>
  <c r="BP82"/>
  <c r="BQ41"/>
  <c r="BQ82"/>
  <c r="BR41"/>
  <c r="BR43"/>
  <c r="BR44"/>
  <c r="BT45"/>
  <c r="BT46"/>
  <c r="BT47"/>
  <c r="B48"/>
  <c r="C48"/>
  <c r="C28" i="2"/>
  <c r="D48" i="21039"/>
  <c r="E48"/>
  <c r="F48"/>
  <c r="G48"/>
  <c r="H48"/>
  <c r="I48"/>
  <c r="J48"/>
  <c r="K48"/>
  <c r="L48"/>
  <c r="M48"/>
  <c r="N48"/>
  <c r="O48"/>
  <c r="P48"/>
  <c r="Q48"/>
  <c r="R48"/>
  <c r="R28" i="2"/>
  <c r="S48" i="21039"/>
  <c r="S28" i="2"/>
  <c r="T48" i="21039"/>
  <c r="U48"/>
  <c r="C65" i="2"/>
  <c r="V48" i="21039"/>
  <c r="W48"/>
  <c r="W82"/>
  <c r="E60" i="2" s="1"/>
  <c r="E61" s="1"/>
  <c r="X48" i="21039"/>
  <c r="F65" i="2"/>
  <c r="Y48" i="21039"/>
  <c r="Z48"/>
  <c r="AA48"/>
  <c r="AB48"/>
  <c r="AC48"/>
  <c r="AD48"/>
  <c r="AE48"/>
  <c r="AF48"/>
  <c r="AG48"/>
  <c r="AH48"/>
  <c r="AI48"/>
  <c r="AI82"/>
  <c r="Q60" i="2" s="1"/>
  <c r="Q61" s="1"/>
  <c r="AJ48" i="21039"/>
  <c r="AK48"/>
  <c r="AL48"/>
  <c r="AM48"/>
  <c r="C102" i="2"/>
  <c r="AN48" i="21039"/>
  <c r="AO48"/>
  <c r="AP48"/>
  <c r="F102" i="2"/>
  <c r="AQ48" i="21039"/>
  <c r="AQ82"/>
  <c r="G97" i="2" s="1"/>
  <c r="G98" s="1"/>
  <c r="AR48" i="21039"/>
  <c r="H102" i="2"/>
  <c r="AS48" i="21039"/>
  <c r="I102" i="2"/>
  <c r="AT48" i="21039"/>
  <c r="AU48"/>
  <c r="AU82"/>
  <c r="K97" i="2" s="1"/>
  <c r="K98" s="1"/>
  <c r="AV48" i="21039"/>
  <c r="AV85"/>
  <c r="AW48"/>
  <c r="AX48"/>
  <c r="AY48"/>
  <c r="AY82"/>
  <c r="O97" i="2" s="1"/>
  <c r="O98" s="1"/>
  <c r="AZ48" i="21039"/>
  <c r="BA48"/>
  <c r="BB48"/>
  <c r="BC48"/>
  <c r="BC82"/>
  <c r="BC85" s="1"/>
  <c r="BD48"/>
  <c r="BE48"/>
  <c r="BF48"/>
  <c r="BG48"/>
  <c r="BG82"/>
  <c r="BH48"/>
  <c r="BI48"/>
  <c r="BJ48"/>
  <c r="BK48"/>
  <c r="BK82"/>
  <c r="BL48"/>
  <c r="BM48"/>
  <c r="BN48"/>
  <c r="BO48"/>
  <c r="BO82"/>
  <c r="BP48"/>
  <c r="BQ48"/>
  <c r="BR48"/>
  <c r="BR50"/>
  <c r="BR51"/>
  <c r="BT52"/>
  <c r="BT53"/>
  <c r="BT54"/>
  <c r="L86" i="1"/>
  <c r="L88" s="1"/>
  <c r="BT55" i="21039"/>
  <c r="BT56"/>
  <c r="BT57"/>
  <c r="BT58"/>
  <c r="B59"/>
  <c r="B29" i="2"/>
  <c r="C59" i="21039"/>
  <c r="C29" i="2"/>
  <c r="D59" i="21039"/>
  <c r="D29" i="2"/>
  <c r="E59" i="21039"/>
  <c r="E29" i="2"/>
  <c r="F59" i="21039"/>
  <c r="F29" i="2"/>
  <c r="G59" i="21039"/>
  <c r="G29" i="2"/>
  <c r="H59" i="21039"/>
  <c r="H29" i="2"/>
  <c r="I59" i="21039"/>
  <c r="I29" i="2"/>
  <c r="J59" i="21039"/>
  <c r="K59"/>
  <c r="L59"/>
  <c r="M59"/>
  <c r="N59"/>
  <c r="O59"/>
  <c r="P59"/>
  <c r="P29" i="2"/>
  <c r="Q59" i="21039"/>
  <c r="Q29" i="2"/>
  <c r="R59" i="21039"/>
  <c r="R29" i="2"/>
  <c r="R31" s="1"/>
  <c r="S59" i="21039"/>
  <c r="S29" i="2"/>
  <c r="T59" i="21039"/>
  <c r="B66" i="2"/>
  <c r="U59" i="21039"/>
  <c r="C66" i="2"/>
  <c r="V59" i="21039"/>
  <c r="D66" i="2"/>
  <c r="W59" i="21039"/>
  <c r="E66" i="2"/>
  <c r="X59" i="21039"/>
  <c r="F66" i="2"/>
  <c r="Y59" i="21039"/>
  <c r="Z59"/>
  <c r="H66" i="2"/>
  <c r="AA59" i="21039"/>
  <c r="I66" i="2"/>
  <c r="AB59" i="21039"/>
  <c r="J66" i="2"/>
  <c r="AC59" i="21039"/>
  <c r="K66" i="2"/>
  <c r="AD59" i="21039"/>
  <c r="L66" i="2"/>
  <c r="AE59" i="21039"/>
  <c r="M66" i="2"/>
  <c r="AF59" i="21039"/>
  <c r="N66" i="2"/>
  <c r="AG59" i="21039"/>
  <c r="O66" i="2"/>
  <c r="AH59" i="21039"/>
  <c r="P66" i="2"/>
  <c r="AI59" i="21039"/>
  <c r="Q66" i="2"/>
  <c r="AJ59" i="21039"/>
  <c r="R66" i="2"/>
  <c r="AK59" i="21039"/>
  <c r="S66" i="2"/>
  <c r="AL59" i="21039"/>
  <c r="B103" i="2"/>
  <c r="AM59" i="21039"/>
  <c r="C103" i="2"/>
  <c r="AN59" i="21039"/>
  <c r="D103" i="2"/>
  <c r="AO59" i="21039"/>
  <c r="E103" i="2"/>
  <c r="AP59" i="21039"/>
  <c r="F103" i="2"/>
  <c r="AQ59" i="21039"/>
  <c r="G103" i="2"/>
  <c r="AR59" i="21039"/>
  <c r="H103" i="2"/>
  <c r="AS59" i="21039"/>
  <c r="I103" i="2"/>
  <c r="AT59" i="21039"/>
  <c r="J103" i="2"/>
  <c r="AU59" i="21039"/>
  <c r="K103" i="2"/>
  <c r="AV59" i="21039"/>
  <c r="L103" i="2"/>
  <c r="AW59" i="21039"/>
  <c r="M103" i="2"/>
  <c r="AX59" i="21039"/>
  <c r="N103" i="2"/>
  <c r="AY59" i="21039"/>
  <c r="O103" i="2"/>
  <c r="AZ59" i="21039"/>
  <c r="P103" i="2"/>
  <c r="BA59" i="21039"/>
  <c r="Q103" i="2"/>
  <c r="BB59" i="21039"/>
  <c r="R103" i="2"/>
  <c r="BC59" i="21039"/>
  <c r="S103" i="2"/>
  <c r="BD59" i="21039"/>
  <c r="B140" i="2"/>
  <c r="BE59" i="21039"/>
  <c r="BF59"/>
  <c r="BG59"/>
  <c r="BH59"/>
  <c r="BI59"/>
  <c r="BJ59"/>
  <c r="BK59"/>
  <c r="BL59"/>
  <c r="BM59"/>
  <c r="BN59"/>
  <c r="BO59"/>
  <c r="BP59"/>
  <c r="BQ59"/>
  <c r="BR59"/>
  <c r="L99" i="1"/>
  <c r="BT73" i="21039"/>
  <c r="L100" i="1"/>
  <c r="Z82" i="21039"/>
  <c r="H60" i="2" s="1"/>
  <c r="H61" s="1"/>
  <c r="AB82" i="21039"/>
  <c r="AL82"/>
  <c r="AP82"/>
  <c r="F97" i="2" s="1"/>
  <c r="F98" s="1"/>
  <c r="AT82" i="21039"/>
  <c r="J97" i="2" s="1"/>
  <c r="J98" s="1"/>
  <c r="AX82" i="21039"/>
  <c r="N97" i="2"/>
  <c r="N98" s="1"/>
  <c r="BB82" i="21039"/>
  <c r="R97" i="2"/>
  <c r="R98" s="1"/>
  <c r="BF82" i="21039"/>
  <c r="BJ82"/>
  <c r="BN82"/>
  <c r="BR82"/>
  <c r="V85"/>
  <c r="A1" i="40"/>
  <c r="A5"/>
  <c r="J12"/>
  <c r="K16"/>
  <c r="B28" i="1"/>
  <c r="I22" s="1"/>
  <c r="K17" i="40"/>
  <c r="B30" i="1"/>
  <c r="C18" i="40"/>
  <c r="C19"/>
  <c r="C20"/>
  <c r="D18"/>
  <c r="D19"/>
  <c r="D20"/>
  <c r="E18"/>
  <c r="E19"/>
  <c r="E20"/>
  <c r="F18"/>
  <c r="F19"/>
  <c r="F20"/>
  <c r="G18"/>
  <c r="G19"/>
  <c r="G20"/>
  <c r="H18"/>
  <c r="H19"/>
  <c r="H20"/>
  <c r="I18"/>
  <c r="I19"/>
  <c r="I20"/>
  <c r="J20"/>
  <c r="A22"/>
  <c r="C24"/>
  <c r="G26"/>
  <c r="I26"/>
  <c r="I39"/>
  <c r="G30"/>
  <c r="I30"/>
  <c r="G31"/>
  <c r="G32"/>
  <c r="B32"/>
  <c r="B34"/>
  <c r="C32"/>
  <c r="C33"/>
  <c r="C34"/>
  <c r="D32"/>
  <c r="D33"/>
  <c r="D34"/>
  <c r="E32"/>
  <c r="E33"/>
  <c r="E34"/>
  <c r="F32"/>
  <c r="F33"/>
  <c r="F34"/>
  <c r="H32"/>
  <c r="G37"/>
  <c r="I38"/>
  <c r="G39"/>
  <c r="G40"/>
  <c r="I40"/>
  <c r="G41"/>
  <c r="I41"/>
  <c r="G42"/>
  <c r="I42"/>
  <c r="G43"/>
  <c r="I43"/>
  <c r="C44"/>
  <c r="C46"/>
  <c r="D44"/>
  <c r="D45"/>
  <c r="D46"/>
  <c r="E44"/>
  <c r="E45"/>
  <c r="E46"/>
  <c r="F44"/>
  <c r="F45"/>
  <c r="F46"/>
  <c r="A4" i="1"/>
  <c r="A5"/>
  <c r="G7"/>
  <c r="A8"/>
  <c r="G8"/>
  <c r="G9"/>
  <c r="I11"/>
  <c r="L11"/>
  <c r="H16"/>
  <c r="C5" i="21040" s="1"/>
  <c r="E6"/>
  <c r="D26" i="1"/>
  <c r="D27"/>
  <c r="Q27"/>
  <c r="D28"/>
  <c r="I26"/>
  <c r="K26"/>
  <c r="D29"/>
  <c r="I29"/>
  <c r="K29"/>
  <c r="D31"/>
  <c r="K43"/>
  <c r="L43"/>
  <c r="L45"/>
  <c r="D46"/>
  <c r="D47"/>
  <c r="I48"/>
  <c r="K48"/>
  <c r="D50"/>
  <c r="C54"/>
  <c r="C55"/>
  <c r="E55"/>
  <c r="G55"/>
  <c r="L56"/>
  <c r="H58"/>
  <c r="H59"/>
  <c r="H60"/>
  <c r="H61"/>
  <c r="N61"/>
  <c r="S61"/>
  <c r="T61"/>
  <c r="W61"/>
  <c r="X61"/>
  <c r="Y61"/>
  <c r="H62"/>
  <c r="H63"/>
  <c r="W63"/>
  <c r="X63"/>
  <c r="Y63"/>
  <c r="H64"/>
  <c r="W64"/>
  <c r="X64"/>
  <c r="Y64"/>
  <c r="H65"/>
  <c r="W65"/>
  <c r="X65"/>
  <c r="Y65"/>
  <c r="H66"/>
  <c r="W72"/>
  <c r="X72"/>
  <c r="Y72"/>
  <c r="W75"/>
  <c r="X75"/>
  <c r="Y75"/>
  <c r="G91"/>
  <c r="G103"/>
  <c r="G104"/>
  <c r="G105"/>
  <c r="G109"/>
  <c r="G110"/>
  <c r="G111"/>
  <c r="N111"/>
  <c r="T111"/>
  <c r="X111"/>
  <c r="Y111"/>
  <c r="Z111"/>
  <c r="AA111"/>
  <c r="G112"/>
  <c r="N112"/>
  <c r="T112"/>
  <c r="X112"/>
  <c r="Y112"/>
  <c r="Z112"/>
  <c r="AA112"/>
  <c r="G113"/>
  <c r="N113"/>
  <c r="T113"/>
  <c r="X113"/>
  <c r="Y113"/>
  <c r="Z113"/>
  <c r="AA113"/>
  <c r="G114"/>
  <c r="N114"/>
  <c r="T114"/>
  <c r="X114"/>
  <c r="Y114"/>
  <c r="Z114"/>
  <c r="AA114"/>
  <c r="G115"/>
  <c r="N115"/>
  <c r="T115"/>
  <c r="X115"/>
  <c r="Y115"/>
  <c r="Z115"/>
  <c r="AA115"/>
  <c r="G116"/>
  <c r="G117"/>
  <c r="G118"/>
  <c r="G119"/>
  <c r="G120"/>
  <c r="B18" i="2"/>
  <c r="C18"/>
  <c r="D18"/>
  <c r="E18"/>
  <c r="F18"/>
  <c r="G18"/>
  <c r="H18"/>
  <c r="I18"/>
  <c r="O18"/>
  <c r="P18"/>
  <c r="Q18"/>
  <c r="R18"/>
  <c r="S18"/>
  <c r="T35"/>
  <c r="B36"/>
  <c r="C36"/>
  <c r="D36"/>
  <c r="E36"/>
  <c r="F36"/>
  <c r="G36"/>
  <c r="H36"/>
  <c r="I36"/>
  <c r="J36"/>
  <c r="K36"/>
  <c r="L36"/>
  <c r="M36"/>
  <c r="N36"/>
  <c r="O36"/>
  <c r="P36"/>
  <c r="Q36"/>
  <c r="R36"/>
  <c r="S36"/>
  <c r="B37"/>
  <c r="C37"/>
  <c r="E37"/>
  <c r="E38"/>
  <c r="E39" s="1"/>
  <c r="F37"/>
  <c r="G37"/>
  <c r="H37"/>
  <c r="H38"/>
  <c r="H39" s="1"/>
  <c r="I37"/>
  <c r="J37"/>
  <c r="K37"/>
  <c r="L37"/>
  <c r="M37"/>
  <c r="N37"/>
  <c r="N38"/>
  <c r="O37"/>
  <c r="P37"/>
  <c r="Q37"/>
  <c r="Q39" s="1"/>
  <c r="Q38"/>
  <c r="R37"/>
  <c r="S37"/>
  <c r="B38"/>
  <c r="D38"/>
  <c r="F38"/>
  <c r="G38"/>
  <c r="I38"/>
  <c r="J38"/>
  <c r="K38"/>
  <c r="K39" s="1"/>
  <c r="M38"/>
  <c r="O38"/>
  <c r="P38"/>
  <c r="R38"/>
  <c r="S38"/>
  <c r="B55"/>
  <c r="C55"/>
  <c r="D55"/>
  <c r="E55"/>
  <c r="H55"/>
  <c r="J55"/>
  <c r="K55"/>
  <c r="N55"/>
  <c r="O55"/>
  <c r="P55"/>
  <c r="Q55"/>
  <c r="S55"/>
  <c r="T72"/>
  <c r="U72"/>
  <c r="B73"/>
  <c r="C73"/>
  <c r="D73"/>
  <c r="E73"/>
  <c r="F73"/>
  <c r="G73"/>
  <c r="H73"/>
  <c r="I73"/>
  <c r="J73"/>
  <c r="K73"/>
  <c r="L73"/>
  <c r="M73"/>
  <c r="N73"/>
  <c r="O73"/>
  <c r="P73"/>
  <c r="Q73"/>
  <c r="R73"/>
  <c r="S73"/>
  <c r="B74"/>
  <c r="C74"/>
  <c r="C75"/>
  <c r="D74"/>
  <c r="E74"/>
  <c r="F74"/>
  <c r="G74"/>
  <c r="G76" s="1"/>
  <c r="G75"/>
  <c r="H74"/>
  <c r="I74"/>
  <c r="J74"/>
  <c r="J76" s="1"/>
  <c r="J75"/>
  <c r="K74"/>
  <c r="L74"/>
  <c r="M74"/>
  <c r="M76" s="1"/>
  <c r="M75"/>
  <c r="N74"/>
  <c r="N75"/>
  <c r="N76"/>
  <c r="O74"/>
  <c r="P74"/>
  <c r="Q74"/>
  <c r="Q75"/>
  <c r="R74"/>
  <c r="S74"/>
  <c r="S75"/>
  <c r="B75"/>
  <c r="B76" s="1"/>
  <c r="D75"/>
  <c r="E75"/>
  <c r="F75"/>
  <c r="H75"/>
  <c r="H76" s="1"/>
  <c r="I75"/>
  <c r="I76" s="1"/>
  <c r="K75"/>
  <c r="L75"/>
  <c r="L76"/>
  <c r="O75"/>
  <c r="P75"/>
  <c r="R75"/>
  <c r="C92"/>
  <c r="F92"/>
  <c r="G92"/>
  <c r="J92"/>
  <c r="L92"/>
  <c r="S92"/>
  <c r="B98"/>
  <c r="T109"/>
  <c r="U109"/>
  <c r="B110"/>
  <c r="C110"/>
  <c r="D110"/>
  <c r="H110"/>
  <c r="J110"/>
  <c r="J113" s="1"/>
  <c r="K110"/>
  <c r="N110"/>
  <c r="O110"/>
  <c r="P110"/>
  <c r="Q110"/>
  <c r="R110"/>
  <c r="S110"/>
  <c r="B111"/>
  <c r="C111"/>
  <c r="D111"/>
  <c r="B112"/>
  <c r="B113" s="1"/>
  <c r="C112"/>
  <c r="D112"/>
  <c r="D113" s="1"/>
  <c r="D100" s="1"/>
  <c r="BL3" i="3"/>
  <c r="BK4" i="21039"/>
  <c r="BK43" s="1"/>
  <c r="N147" i="2"/>
  <c r="R149"/>
  <c r="U118"/>
  <c r="C17" i="1" s="1"/>
  <c r="P14" s="1"/>
  <c r="U119" i="2"/>
  <c r="C18" i="1" s="1"/>
  <c r="U126" i="2"/>
  <c r="B25" i="1" s="1"/>
  <c r="U127" i="2"/>
  <c r="B26" i="1" s="1"/>
  <c r="B129" i="2"/>
  <c r="C129"/>
  <c r="D129"/>
  <c r="E129"/>
  <c r="U131"/>
  <c r="B36" i="1" s="1"/>
  <c r="U132" i="2"/>
  <c r="B37" i="1" s="1"/>
  <c r="U133" i="2"/>
  <c r="B38" i="1" s="1"/>
  <c r="C135" i="2"/>
  <c r="D135"/>
  <c r="E135"/>
  <c r="U136"/>
  <c r="B41" i="1" s="1"/>
  <c r="B147" i="2"/>
  <c r="C147"/>
  <c r="D147"/>
  <c r="E147"/>
  <c r="F147"/>
  <c r="H147"/>
  <c r="H150" s="1"/>
  <c r="I147"/>
  <c r="J147"/>
  <c r="J148"/>
  <c r="J149"/>
  <c r="M147"/>
  <c r="M150" s="1"/>
  <c r="M148"/>
  <c r="M149"/>
  <c r="B148"/>
  <c r="F148"/>
  <c r="F150" s="1"/>
  <c r="H148"/>
  <c r="I148"/>
  <c r="N148"/>
  <c r="N150" s="1"/>
  <c r="B149"/>
  <c r="F149"/>
  <c r="H149"/>
  <c r="I149"/>
  <c r="S152"/>
  <c r="S153"/>
  <c r="Q147"/>
  <c r="C12"/>
  <c r="D12" s="1"/>
  <c r="E12" s="1"/>
  <c r="F12" s="1"/>
  <c r="G12" s="1"/>
  <c r="H12" s="1"/>
  <c r="I12" s="1"/>
  <c r="O12" s="1"/>
  <c r="P12" s="1"/>
  <c r="Q12" s="1"/>
  <c r="R12" s="1"/>
  <c r="S12" s="1"/>
  <c r="B49" s="1"/>
  <c r="R147"/>
  <c r="Q148"/>
  <c r="N149"/>
  <c r="Q149"/>
  <c r="Q150" s="1"/>
  <c r="O148"/>
  <c r="O149"/>
  <c r="O147"/>
  <c r="B46"/>
  <c r="S149"/>
  <c r="S148"/>
  <c r="S147"/>
  <c r="S150" s="1"/>
  <c r="R148"/>
  <c r="U4" i="3"/>
  <c r="T5" i="21039" s="1"/>
  <c r="BN43"/>
  <c r="BN50"/>
  <c r="L38" i="2"/>
  <c r="M101"/>
  <c r="AT65" i="3"/>
  <c r="O64" i="2"/>
  <c r="AH65" i="3"/>
  <c r="K64" i="2"/>
  <c r="AD65" i="3"/>
  <c r="Z65"/>
  <c r="W65"/>
  <c r="O27" i="2"/>
  <c r="Q101"/>
  <c r="P101"/>
  <c r="AO65" i="3"/>
  <c r="U85" i="21039"/>
  <c r="O29" i="2"/>
  <c r="J64"/>
  <c r="R64"/>
  <c r="S27"/>
  <c r="BE65" i="3"/>
  <c r="J60" i="2"/>
  <c r="J61" s="1"/>
  <c r="F71" i="3356"/>
  <c r="F72"/>
  <c r="F73"/>
  <c r="G77" i="1"/>
  <c r="G57"/>
  <c r="BO85" i="21039"/>
  <c r="AZ85"/>
  <c r="AX85"/>
  <c r="B65" i="2"/>
  <c r="P102"/>
  <c r="L65"/>
  <c r="L68" s="1"/>
  <c r="H65"/>
  <c r="H28"/>
  <c r="L102"/>
  <c r="N102"/>
  <c r="N105" s="1"/>
  <c r="S85" i="21039"/>
  <c r="AW65" i="3"/>
  <c r="B64" i="2"/>
  <c r="B68" s="1"/>
  <c r="H101"/>
  <c r="BD65" i="3"/>
  <c r="AZ65"/>
  <c r="AU65"/>
  <c r="AQ65"/>
  <c r="AM65"/>
  <c r="J65"/>
  <c r="G27" i="2"/>
  <c r="N64"/>
  <c r="AY65" i="3"/>
  <c r="X65"/>
  <c r="O65"/>
  <c r="K65"/>
  <c r="E65"/>
  <c r="C65"/>
  <c r="M65" i="2"/>
  <c r="M68" s="1"/>
  <c r="S102"/>
  <c r="R65"/>
  <c r="G65"/>
  <c r="Q102"/>
  <c r="G28"/>
  <c r="Q28"/>
  <c r="Q31" s="1"/>
  <c r="P65"/>
  <c r="P68" s="1"/>
  <c r="E65"/>
  <c r="E68" s="1"/>
  <c r="I65"/>
  <c r="G34" i="40"/>
  <c r="K30" i="1"/>
  <c r="E83" i="2"/>
  <c r="AP4" i="3"/>
  <c r="AO5" i="21039" s="1"/>
  <c r="F80" i="2"/>
  <c r="F87"/>
  <c r="F83"/>
  <c r="F84" s="1"/>
  <c r="F85" s="1"/>
  <c r="C64" i="1"/>
  <c r="E64" s="1"/>
  <c r="G64"/>
  <c r="V65" i="3"/>
  <c r="G84" i="1"/>
  <c r="R55" i="2"/>
  <c r="E102"/>
  <c r="AO85" i="21039"/>
  <c r="K85"/>
  <c r="G68" i="1"/>
  <c r="C67"/>
  <c r="E67"/>
  <c r="G67"/>
  <c r="L117"/>
  <c r="D102" i="2"/>
  <c r="O60"/>
  <c r="O61" s="1"/>
  <c r="G60"/>
  <c r="G61" s="1"/>
  <c r="P60"/>
  <c r="P61" s="1"/>
  <c r="AH85" i="21039"/>
  <c r="M60" i="2"/>
  <c r="M61" s="1"/>
  <c r="M69" s="1"/>
  <c r="L60"/>
  <c r="L61" s="1"/>
  <c r="G23"/>
  <c r="T97" i="1"/>
  <c r="S76"/>
  <c r="N97"/>
  <c r="N76"/>
  <c r="G58"/>
  <c r="T95"/>
  <c r="S72"/>
  <c r="T83"/>
  <c r="N72"/>
  <c r="S73"/>
  <c r="N95"/>
  <c r="N75"/>
  <c r="N83"/>
  <c r="N71"/>
  <c r="T96"/>
  <c r="N74"/>
  <c r="N70"/>
  <c r="S74"/>
  <c r="S70"/>
  <c r="S83"/>
  <c r="N73"/>
  <c r="N96"/>
  <c r="S71"/>
  <c r="S75"/>
  <c r="T56"/>
  <c r="BR4" i="21039"/>
  <c r="D43" i="2"/>
  <c r="W4" i="3" s="1"/>
  <c r="V5" i="21039" s="1"/>
  <c r="H113" i="2"/>
  <c r="I65" i="3"/>
  <c r="L118" i="1"/>
  <c r="AB85" i="21039"/>
  <c r="AJ85"/>
  <c r="I28" i="2"/>
  <c r="I31" s="1"/>
  <c r="AN85" i="21039"/>
  <c r="Y85"/>
  <c r="L85"/>
  <c r="O65" i="2"/>
  <c r="AY85" i="21039"/>
  <c r="BQ85"/>
  <c r="BK85"/>
  <c r="BG85"/>
  <c r="G65" i="3"/>
  <c r="BQ51" i="21039"/>
  <c r="P105" i="2"/>
  <c r="G39"/>
  <c r="AA6" i="3356"/>
  <c r="BF85" i="21039"/>
  <c r="BN85"/>
  <c r="BB85"/>
  <c r="N85"/>
  <c r="F85"/>
  <c r="AT85"/>
  <c r="AQ85"/>
  <c r="S65" i="2"/>
  <c r="AI85" i="21039"/>
  <c r="AC85"/>
  <c r="BU65" i="3"/>
  <c r="C71" i="3356"/>
  <c r="C72"/>
  <c r="C73"/>
  <c r="AA7"/>
  <c r="BD85" i="21039"/>
  <c r="BT41"/>
  <c r="B45" i="1" s="1"/>
  <c r="C85" i="21039"/>
  <c r="D28" i="2"/>
  <c r="G85" i="21039"/>
  <c r="J85"/>
  <c r="O85"/>
  <c r="R150" i="2"/>
  <c r="I150"/>
  <c r="I44" i="40"/>
  <c r="D8" i="1"/>
  <c r="I32" i="40"/>
  <c r="AW85" i="21039"/>
  <c r="AU85"/>
  <c r="AL85"/>
  <c r="BP85"/>
  <c r="BM85"/>
  <c r="BJ85"/>
  <c r="BH85"/>
  <c r="BE85"/>
  <c r="B71" i="3356"/>
  <c r="B72"/>
  <c r="B73"/>
  <c r="AA72"/>
  <c r="AA8"/>
  <c r="H85" i="21039"/>
  <c r="P28" i="2"/>
  <c r="F113"/>
  <c r="I113"/>
  <c r="N65"/>
  <c r="N68" s="1"/>
  <c r="E28"/>
  <c r="F76"/>
  <c r="J39"/>
  <c r="D142"/>
  <c r="G113"/>
  <c r="T43" i="21039"/>
  <c r="AA41" i="3356"/>
  <c r="I68" i="2"/>
  <c r="H23"/>
  <c r="H24" s="1"/>
  <c r="K18" i="40"/>
  <c r="AQ4" i="3"/>
  <c r="AP5" i="21039" s="1"/>
  <c r="P85"/>
  <c r="B102" i="2"/>
  <c r="B106" s="1"/>
  <c r="B139"/>
  <c r="B142" s="1"/>
  <c r="AJ65" i="3"/>
  <c r="R102" i="2"/>
  <c r="R105" s="1"/>
  <c r="B85" i="21039"/>
  <c r="O28" i="2"/>
  <c r="AA85" i="21039"/>
  <c r="Q65" i="2"/>
  <c r="E85" i="21039"/>
  <c r="AF85"/>
  <c r="Z85"/>
  <c r="AR85"/>
  <c r="X85"/>
  <c r="BT48"/>
  <c r="Q105" i="2"/>
  <c r="M65" i="3"/>
  <c r="BA85" i="21039"/>
  <c r="Q76" i="2"/>
  <c r="AP65" i="3"/>
  <c r="L8" i="1"/>
  <c r="L9" s="1"/>
  <c r="J31" s="1"/>
  <c r="C142" i="2"/>
  <c r="Q113"/>
  <c r="AE85" i="21039"/>
  <c r="G102" i="2"/>
  <c r="G105" s="1"/>
  <c r="G80"/>
  <c r="R65" i="3"/>
  <c r="K65" i="2"/>
  <c r="K68" s="1"/>
  <c r="K72"/>
  <c r="M85" i="21039"/>
  <c r="W85"/>
  <c r="AK85"/>
  <c r="E27" i="2"/>
  <c r="BT59" i="21039"/>
  <c r="C76" i="2"/>
  <c r="G66"/>
  <c r="E142"/>
  <c r="C101"/>
  <c r="C105" s="1"/>
  <c r="S64"/>
  <c r="F12" i="40"/>
  <c r="AM85" i="21039"/>
  <c r="AP85"/>
  <c r="BU62" i="3"/>
  <c r="S105" i="2"/>
  <c r="K102"/>
  <c r="K105" s="1"/>
  <c r="J102"/>
  <c r="G44" i="40"/>
  <c r="K49" i="1"/>
  <c r="L33" i="40"/>
  <c r="I105" i="2"/>
  <c r="S65" i="3"/>
  <c r="L45" i="40"/>
  <c r="AY43" i="21039"/>
  <c r="AU43"/>
  <c r="I43"/>
  <c r="AQ50"/>
  <c r="P43"/>
  <c r="D150" i="2"/>
  <c r="D137" s="1"/>
  <c r="L105"/>
  <c r="F105"/>
  <c r="D105"/>
  <c r="C4" i="3"/>
  <c r="B5" i="21039" s="1"/>
  <c r="N39" i="2"/>
  <c r="P72"/>
  <c r="BM51" i="21039"/>
  <c r="E54" i="1"/>
  <c r="G54" s="1"/>
  <c r="D50" i="2"/>
  <c r="V4" i="3"/>
  <c r="U5" i="21039"/>
  <c r="U44" s="1"/>
  <c r="C46" i="2"/>
  <c r="L113"/>
  <c r="B20" i="40"/>
  <c r="L19"/>
  <c r="E60" i="1"/>
  <c r="C68" i="2"/>
  <c r="B35"/>
  <c r="M72"/>
  <c r="S76"/>
  <c r="AF65" i="3"/>
  <c r="D65"/>
  <c r="O113" i="2"/>
  <c r="O109"/>
  <c r="R76"/>
  <c r="AF43" i="21039"/>
  <c r="AF50"/>
  <c r="X43"/>
  <c r="X50"/>
  <c r="AB50"/>
  <c r="AB43"/>
  <c r="F44"/>
  <c r="E50"/>
  <c r="E43"/>
  <c r="B47" i="1"/>
  <c r="I42" s="1"/>
  <c r="K42" s="1"/>
  <c r="L42" s="1"/>
  <c r="J109" i="2"/>
  <c r="Q72"/>
  <c r="L1" i="40"/>
  <c r="AA1" i="3356"/>
  <c r="S68" i="2"/>
  <c r="G83"/>
  <c r="G84" s="1"/>
  <c r="G85" s="1"/>
  <c r="H80"/>
  <c r="G87"/>
  <c r="AR4" i="3"/>
  <c r="AQ5" i="21039" s="1"/>
  <c r="G72" i="2"/>
  <c r="G35"/>
  <c r="U51" i="21039"/>
  <c r="L35" i="2"/>
  <c r="H35"/>
  <c r="F35"/>
  <c r="L72"/>
  <c r="O72"/>
  <c r="C72"/>
  <c r="M35"/>
  <c r="I35"/>
  <c r="K35"/>
  <c r="E35"/>
  <c r="AS4" i="3"/>
  <c r="AR5" i="21039"/>
  <c r="AR51" s="1"/>
  <c r="I80" i="2"/>
  <c r="H83"/>
  <c r="H84" s="1"/>
  <c r="H85" s="1"/>
  <c r="H87"/>
  <c r="H109"/>
  <c r="I83"/>
  <c r="I84" s="1"/>
  <c r="I85" s="1"/>
  <c r="AT4" i="3"/>
  <c r="AS5" i="21039" s="1"/>
  <c r="AS51" s="1"/>
  <c r="I87" i="2"/>
  <c r="J80"/>
  <c r="AU4" i="3"/>
  <c r="AT5" i="21039" s="1"/>
  <c r="AT44" s="1"/>
  <c r="K80" i="2"/>
  <c r="J87"/>
  <c r="J83"/>
  <c r="J84" s="1"/>
  <c r="J85" s="1"/>
  <c r="AV4" i="3"/>
  <c r="AU5" i="21039" s="1"/>
  <c r="L80" i="2"/>
  <c r="K87"/>
  <c r="K83"/>
  <c r="K84" s="1"/>
  <c r="K85" s="1"/>
  <c r="M80"/>
  <c r="AW4" i="3"/>
  <c r="AV5" i="21039"/>
  <c r="AV51" s="1"/>
  <c r="L87" i="2"/>
  <c r="L83"/>
  <c r="L84" s="1"/>
  <c r="L85" s="1"/>
  <c r="N80"/>
  <c r="M83"/>
  <c r="M84"/>
  <c r="M85" s="1"/>
  <c r="M87"/>
  <c r="AX4" i="3"/>
  <c r="AW5" i="21039" s="1"/>
  <c r="O80" i="2"/>
  <c r="N83"/>
  <c r="N84" s="1"/>
  <c r="N85" s="1"/>
  <c r="AY4" i="3"/>
  <c r="AX5" i="21039" s="1"/>
  <c r="N87" i="2"/>
  <c r="O87"/>
  <c r="P80"/>
  <c r="AZ4" i="3"/>
  <c r="AY5" i="21039" s="1"/>
  <c r="O83" i="2"/>
  <c r="Q80"/>
  <c r="BA4" i="3"/>
  <c r="AZ5" i="21039" s="1"/>
  <c r="AZ51" s="1"/>
  <c r="P83" i="2"/>
  <c r="P84" s="1"/>
  <c r="P85" s="1"/>
  <c r="P87"/>
  <c r="R80"/>
  <c r="Q87"/>
  <c r="Q83"/>
  <c r="Q84" s="1"/>
  <c r="Q85" s="1"/>
  <c r="BB4" i="3"/>
  <c r="BA5" i="21039" s="1"/>
  <c r="R87" i="2"/>
  <c r="R83"/>
  <c r="R84" s="1"/>
  <c r="R85" s="1"/>
  <c r="BC4" i="3"/>
  <c r="BB5" i="21039" s="1"/>
  <c r="BB51" s="1"/>
  <c r="S83" i="2"/>
  <c r="S84" s="1"/>
  <c r="S85" s="1"/>
  <c r="B5" i="3"/>
  <c r="N94" i="1"/>
  <c r="T92"/>
  <c r="S89"/>
  <c r="N87"/>
  <c r="S86"/>
  <c r="N82"/>
  <c r="N80"/>
  <c r="N79"/>
  <c r="N68"/>
  <c r="N66"/>
  <c r="S64"/>
  <c r="T94"/>
  <c r="N92"/>
  <c r="T88"/>
  <c r="T87"/>
  <c r="N86"/>
  <c r="T81"/>
  <c r="S80"/>
  <c r="S79"/>
  <c r="S68"/>
  <c r="S66"/>
  <c r="N64"/>
  <c r="N93"/>
  <c r="N89"/>
  <c r="S88"/>
  <c r="S87"/>
  <c r="T82"/>
  <c r="S81"/>
  <c r="T80"/>
  <c r="S69"/>
  <c r="S67"/>
  <c r="N65"/>
  <c r="S63"/>
  <c r="T93"/>
  <c r="T89"/>
  <c r="N88"/>
  <c r="T86"/>
  <c r="S82"/>
  <c r="N81"/>
  <c r="T79"/>
  <c r="N69"/>
  <c r="N67"/>
  <c r="S65"/>
  <c r="N63"/>
  <c r="G85" l="1"/>
  <c r="T55"/>
  <c r="L65" i="3"/>
  <c r="L31" i="2"/>
  <c r="L32"/>
  <c r="J31"/>
  <c r="J32"/>
  <c r="K32"/>
  <c r="K31"/>
  <c r="BL85" i="21039"/>
  <c r="BI85"/>
  <c r="J69" i="2"/>
  <c r="J68"/>
  <c r="AG85" i="21039"/>
  <c r="AD85"/>
  <c r="D85"/>
  <c r="I85"/>
  <c r="P69" i="2"/>
  <c r="G32"/>
  <c r="G19" s="1"/>
  <c r="C69"/>
  <c r="T85" i="21039"/>
  <c r="N69" i="2"/>
  <c r="N70" s="1"/>
  <c r="N71" s="1"/>
  <c r="N72" s="1"/>
  <c r="Q85" i="21039"/>
  <c r="R85"/>
  <c r="O100" i="2"/>
  <c r="I23"/>
  <c r="I24" s="1"/>
  <c r="L100"/>
  <c r="I97"/>
  <c r="I98" s="1"/>
  <c r="Q100"/>
  <c r="P76"/>
  <c r="K76"/>
  <c r="E76"/>
  <c r="H100"/>
  <c r="B60"/>
  <c r="B61" s="1"/>
  <c r="B69" s="1"/>
  <c r="B70" s="1"/>
  <c r="B71" s="1"/>
  <c r="B72" s="1"/>
  <c r="D23"/>
  <c r="D24" s="1"/>
  <c r="Q23"/>
  <c r="Q24" s="1"/>
  <c r="R23"/>
  <c r="R24" s="1"/>
  <c r="G100"/>
  <c r="O32"/>
  <c r="U139"/>
  <c r="J105"/>
  <c r="C49"/>
  <c r="D49" s="1"/>
  <c r="E49" s="1"/>
  <c r="F49" s="1"/>
  <c r="J100"/>
  <c r="E79" i="1"/>
  <c r="C94"/>
  <c r="AQ44" i="21039"/>
  <c r="AQ51"/>
  <c r="T44"/>
  <c r="T51"/>
  <c r="S51"/>
  <c r="S44"/>
  <c r="L51"/>
  <c r="L44"/>
  <c r="D44"/>
  <c r="D51"/>
  <c r="BA50"/>
  <c r="BA43"/>
  <c r="AS50"/>
  <c r="AS43"/>
  <c r="AH43"/>
  <c r="AH50"/>
  <c r="Z50"/>
  <c r="Z43"/>
  <c r="R50"/>
  <c r="R43"/>
  <c r="G43"/>
  <c r="G50"/>
  <c r="AY44"/>
  <c r="AY51"/>
  <c r="H51"/>
  <c r="H44"/>
  <c r="AW50"/>
  <c r="AW43"/>
  <c r="AD50"/>
  <c r="AD43"/>
  <c r="V50"/>
  <c r="V43"/>
  <c r="C43"/>
  <c r="C50"/>
  <c r="O69" i="2"/>
  <c r="L39"/>
  <c r="D46"/>
  <c r="H98"/>
  <c r="E43"/>
  <c r="E46" s="1"/>
  <c r="BK50" i="21039"/>
  <c r="E31" i="2"/>
  <c r="I100"/>
  <c r="I106" s="1"/>
  <c r="S69"/>
  <c r="S70" s="1"/>
  <c r="S71" s="1"/>
  <c r="S72" s="1"/>
  <c r="L69"/>
  <c r="G69"/>
  <c r="G68"/>
  <c r="O76"/>
  <c r="D76"/>
  <c r="S39"/>
  <c r="P39"/>
  <c r="M39"/>
  <c r="I39"/>
  <c r="F39"/>
  <c r="B39"/>
  <c r="H105"/>
  <c r="L82" i="1"/>
  <c r="I40" s="1"/>
  <c r="K40" s="1"/>
  <c r="P47" s="1"/>
  <c r="O105" i="2"/>
  <c r="E105"/>
  <c r="Q68"/>
  <c r="H69"/>
  <c r="H70" s="1"/>
  <c r="H71" s="1"/>
  <c r="H72" s="1"/>
  <c r="F68"/>
  <c r="D68"/>
  <c r="B31"/>
  <c r="F31"/>
  <c r="H31"/>
  <c r="P31"/>
  <c r="Q32"/>
  <c r="Q33" s="1"/>
  <c r="Q34" s="1"/>
  <c r="Q35" s="1"/>
  <c r="M113"/>
  <c r="M100" s="1"/>
  <c r="M106" s="1"/>
  <c r="M93" s="1"/>
  <c r="P113"/>
  <c r="P100" s="1"/>
  <c r="P106" s="1"/>
  <c r="R39"/>
  <c r="O39"/>
  <c r="S31"/>
  <c r="R69"/>
  <c r="C70"/>
  <c r="C56"/>
  <c r="P70"/>
  <c r="K22" i="1"/>
  <c r="L22" s="1"/>
  <c r="M44" i="21039"/>
  <c r="M51"/>
  <c r="E44"/>
  <c r="E51"/>
  <c r="AX43"/>
  <c r="AX50"/>
  <c r="AP43"/>
  <c r="AP50"/>
  <c r="AM43"/>
  <c r="AM50"/>
  <c r="AE43"/>
  <c r="AE50"/>
  <c r="W43"/>
  <c r="W50"/>
  <c r="O50"/>
  <c r="O43"/>
  <c r="L50"/>
  <c r="L43"/>
  <c r="D43"/>
  <c r="D50"/>
  <c r="BA51"/>
  <c r="BA44"/>
  <c r="BI44"/>
  <c r="BI51"/>
  <c r="O44"/>
  <c r="O51"/>
  <c r="G44"/>
  <c r="G51"/>
  <c r="AZ43"/>
  <c r="AZ50"/>
  <c r="AO43"/>
  <c r="AO50"/>
  <c r="AG50"/>
  <c r="AG43"/>
  <c r="Q43"/>
  <c r="Q50"/>
  <c r="N50"/>
  <c r="N43"/>
  <c r="AU51"/>
  <c r="AU44"/>
  <c r="AP51"/>
  <c r="AP44"/>
  <c r="AO51"/>
  <c r="AO44"/>
  <c r="K44"/>
  <c r="K51"/>
  <c r="C44"/>
  <c r="C51"/>
  <c r="AV43"/>
  <c r="AV50"/>
  <c r="AK43"/>
  <c r="AK50"/>
  <c r="AC43"/>
  <c r="AC50"/>
  <c r="U50"/>
  <c r="U43"/>
  <c r="J50"/>
  <c r="J43"/>
  <c r="B50"/>
  <c r="B43"/>
  <c r="H19" i="3356"/>
  <c r="I19" s="1"/>
  <c r="J19" s="1"/>
  <c r="K19" s="1"/>
  <c r="L19" s="1"/>
  <c r="M19" s="1"/>
  <c r="N19" s="1"/>
  <c r="O19" s="1"/>
  <c r="P19" s="1"/>
  <c r="Q19" s="1"/>
  <c r="R19" s="1"/>
  <c r="S19" s="1"/>
  <c r="E94" i="1"/>
  <c r="C32" i="2"/>
  <c r="I32"/>
  <c r="B44" i="21039"/>
  <c r="B51"/>
  <c r="L70" i="2"/>
  <c r="J70"/>
  <c r="J71" s="1"/>
  <c r="J72" s="1"/>
  <c r="R44" i="21039"/>
  <c r="R51"/>
  <c r="AR43"/>
  <c r="AR50"/>
  <c r="Y50"/>
  <c r="Y43"/>
  <c r="F43"/>
  <c r="F50"/>
  <c r="T9" i="1"/>
  <c r="K31"/>
  <c r="J32"/>
  <c r="J50" s="1"/>
  <c r="D10"/>
  <c r="I31"/>
  <c r="AX44" i="21039"/>
  <c r="AX51"/>
  <c r="AW44"/>
  <c r="AW51"/>
  <c r="V51"/>
  <c r="V44"/>
  <c r="O70" i="2"/>
  <c r="G33"/>
  <c r="O33"/>
  <c r="O34" s="1"/>
  <c r="O35" s="1"/>
  <c r="O19"/>
  <c r="R70"/>
  <c r="R71" s="1"/>
  <c r="R72" s="1"/>
  <c r="Q44" i="21039"/>
  <c r="Q51"/>
  <c r="I51"/>
  <c r="I44"/>
  <c r="BB50"/>
  <c r="BB43"/>
  <c r="AT50"/>
  <c r="AT43"/>
  <c r="AI43"/>
  <c r="AI50"/>
  <c r="AA50"/>
  <c r="AA43"/>
  <c r="S43"/>
  <c r="S50"/>
  <c r="H43"/>
  <c r="H50"/>
  <c r="H106" i="2"/>
  <c r="H93" s="1"/>
  <c r="O84"/>
  <c r="O85" s="1"/>
  <c r="U138"/>
  <c r="B44" i="1" s="1"/>
  <c r="I41" s="1"/>
  <c r="M43" i="21039"/>
  <c r="J44"/>
  <c r="E50" i="2"/>
  <c r="N51" i="21039"/>
  <c r="H68" i="2"/>
  <c r="E32"/>
  <c r="E33" s="1"/>
  <c r="E113"/>
  <c r="E100" s="1"/>
  <c r="E106" s="1"/>
  <c r="K113"/>
  <c r="N113"/>
  <c r="N100" s="1"/>
  <c r="N106" s="1"/>
  <c r="R113"/>
  <c r="R100" s="1"/>
  <c r="R106" s="1"/>
  <c r="R107" s="1"/>
  <c r="R108" s="1"/>
  <c r="R109" s="1"/>
  <c r="X4" i="3"/>
  <c r="W5" i="21039" s="1"/>
  <c r="C31" i="2"/>
  <c r="B56"/>
  <c r="P32"/>
  <c r="P19" s="1"/>
  <c r="D32"/>
  <c r="D33" s="1"/>
  <c r="D34" s="1"/>
  <c r="D35" s="1"/>
  <c r="AZ44" i="21039"/>
  <c r="AS44"/>
  <c r="D31" i="2"/>
  <c r="D37" s="1"/>
  <c r="U148" s="1"/>
  <c r="L106"/>
  <c r="L93" s="1"/>
  <c r="AN43" i="21039"/>
  <c r="AL43"/>
  <c r="S32" i="2"/>
  <c r="G31"/>
  <c r="K43" i="21039"/>
  <c r="P51"/>
  <c r="O31" i="2"/>
  <c r="H32"/>
  <c r="H33" s="1"/>
  <c r="F100"/>
  <c r="O68"/>
  <c r="E150"/>
  <c r="E137" s="1"/>
  <c r="E143" s="1"/>
  <c r="E144" s="1"/>
  <c r="E145" s="1"/>
  <c r="E146" s="1"/>
  <c r="Q69"/>
  <c r="I69"/>
  <c r="B32"/>
  <c r="B33" s="1"/>
  <c r="F32"/>
  <c r="F33" s="1"/>
  <c r="K69"/>
  <c r="D69"/>
  <c r="D70" s="1"/>
  <c r="D71" s="1"/>
  <c r="D72" s="1"/>
  <c r="F43"/>
  <c r="AV44" i="21039"/>
  <c r="AT51"/>
  <c r="AR44"/>
  <c r="AJ50"/>
  <c r="BQ43"/>
  <c r="U140" i="2"/>
  <c r="B49" i="1" s="1"/>
  <c r="C97" s="1"/>
  <c r="D106" i="2"/>
  <c r="E69"/>
  <c r="E70" s="1"/>
  <c r="E71" s="1"/>
  <c r="E72" s="1"/>
  <c r="F69"/>
  <c r="F70" s="1"/>
  <c r="F71" s="1"/>
  <c r="F72" s="1"/>
  <c r="B143"/>
  <c r="J35"/>
  <c r="R32"/>
  <c r="T2" i="1"/>
  <c r="J1" i="40" s="1"/>
  <c r="L120" i="1"/>
  <c r="S97" i="2"/>
  <c r="BT82" i="21039"/>
  <c r="I107" i="2"/>
  <c r="I108" s="1"/>
  <c r="I109" s="1"/>
  <c r="I93"/>
  <c r="G70"/>
  <c r="E56"/>
  <c r="O46" i="1"/>
  <c r="B107" i="2"/>
  <c r="B108" s="1"/>
  <c r="B109" s="1"/>
  <c r="K70"/>
  <c r="D56"/>
  <c r="E19"/>
  <c r="M70"/>
  <c r="R19"/>
  <c r="R33"/>
  <c r="R34" s="1"/>
  <c r="R35" s="1"/>
  <c r="H107"/>
  <c r="Q70"/>
  <c r="I70"/>
  <c r="I71" s="1"/>
  <c r="I72" s="1"/>
  <c r="F19"/>
  <c r="G106"/>
  <c r="G93" s="1"/>
  <c r="J106"/>
  <c r="F106"/>
  <c r="F93" s="1"/>
  <c r="O106"/>
  <c r="C113"/>
  <c r="C100" s="1"/>
  <c r="C106" s="1"/>
  <c r="BB44" i="21039"/>
  <c r="Q106" i="2"/>
  <c r="Q107" s="1"/>
  <c r="Q108" s="1"/>
  <c r="Q109" s="1"/>
  <c r="K100"/>
  <c r="K106" s="1"/>
  <c r="K93" s="1"/>
  <c r="B105"/>
  <c r="Q30" i="1"/>
  <c r="B117" i="2"/>
  <c r="BD4" i="3"/>
  <c r="BC5" i="21039" s="1"/>
  <c r="B124" i="2"/>
  <c r="BC50" i="21039"/>
  <c r="BC43"/>
  <c r="BK51"/>
  <c r="BK44"/>
  <c r="BO51"/>
  <c r="BO44"/>
  <c r="BE50"/>
  <c r="BE43"/>
  <c r="BI43"/>
  <c r="BI50"/>
  <c r="BP50"/>
  <c r="BP43"/>
  <c r="B150" i="2"/>
  <c r="U147"/>
  <c r="O44" i="1" s="1"/>
  <c r="C150" i="2"/>
  <c r="C137" s="1"/>
  <c r="C143" s="1"/>
  <c r="O150"/>
  <c r="J150"/>
  <c r="U85" i="1"/>
  <c r="U129" i="2"/>
  <c r="U78" i="1"/>
  <c r="BJ51" i="21039"/>
  <c r="BJ44"/>
  <c r="BD43"/>
  <c r="BD50"/>
  <c r="K39" i="1"/>
  <c r="BH51" i="21039"/>
  <c r="BH44"/>
  <c r="BJ50"/>
  <c r="BJ43"/>
  <c r="Q28" i="1"/>
  <c r="BN51" i="21039"/>
  <c r="BN44"/>
  <c r="BO43"/>
  <c r="BO50"/>
  <c r="BH50"/>
  <c r="BH43"/>
  <c r="D143" i="2"/>
  <c r="BM50" i="21039"/>
  <c r="BM43"/>
  <c r="I44" i="1"/>
  <c r="L44" s="1"/>
  <c r="E97"/>
  <c r="K41"/>
  <c r="L41" s="1"/>
  <c r="N23"/>
  <c r="B31"/>
  <c r="D4" s="1"/>
  <c r="BL51" i="21039"/>
  <c r="BL44"/>
  <c r="BF43"/>
  <c r="BF50"/>
  <c r="B144" i="2"/>
  <c r="B145" s="1"/>
  <c r="B146" s="1"/>
  <c r="B130"/>
  <c r="BP5" i="21039"/>
  <c r="L23" i="1"/>
  <c r="BG43" i="21039"/>
  <c r="BL43"/>
  <c r="B42" i="1"/>
  <c r="I24" s="1"/>
  <c r="J107" i="2"/>
  <c r="J93"/>
  <c r="U62" i="1"/>
  <c r="U91"/>
  <c r="L107" i="2"/>
  <c r="L108" s="1"/>
  <c r="L109" s="1"/>
  <c r="O107"/>
  <c r="O93"/>
  <c r="P107"/>
  <c r="P108" s="1"/>
  <c r="P109" s="1"/>
  <c r="P93"/>
  <c r="L33" l="1"/>
  <c r="L19"/>
  <c r="K33"/>
  <c r="K19"/>
  <c r="J33"/>
  <c r="J19"/>
  <c r="Q93"/>
  <c r="H19"/>
  <c r="E93"/>
  <c r="E107"/>
  <c r="E108" s="1"/>
  <c r="E109" s="1"/>
  <c r="N93"/>
  <c r="N107"/>
  <c r="N108" s="1"/>
  <c r="N109" s="1"/>
  <c r="K107"/>
  <c r="K108" s="1"/>
  <c r="K109" s="1"/>
  <c r="Q19"/>
  <c r="Q45" i="1"/>
  <c r="G79"/>
  <c r="T54"/>
  <c r="Y4" i="3"/>
  <c r="X5" i="21039" s="1"/>
  <c r="G43" i="2"/>
  <c r="F50"/>
  <c r="F46"/>
  <c r="W44" i="21039"/>
  <c r="W51"/>
  <c r="J51" i="1"/>
  <c r="P11"/>
  <c r="T5"/>
  <c r="S5"/>
  <c r="U142" i="2"/>
  <c r="P33"/>
  <c r="P34" s="1"/>
  <c r="P35" s="1"/>
  <c r="I33"/>
  <c r="I19"/>
  <c r="N35"/>
  <c r="G107"/>
  <c r="G108" s="1"/>
  <c r="G109" s="1"/>
  <c r="L40" i="1"/>
  <c r="D39" i="2"/>
  <c r="S19"/>
  <c r="S33"/>
  <c r="S34" s="1"/>
  <c r="S35" s="1"/>
  <c r="C33"/>
  <c r="C38"/>
  <c r="D107"/>
  <c r="D108" s="1"/>
  <c r="D109" s="1"/>
  <c r="F56"/>
  <c r="O1" i="3356"/>
  <c r="T1" i="2"/>
  <c r="BR1" i="3"/>
  <c r="Y1" i="3356"/>
  <c r="BR1" i="21039"/>
  <c r="U134" i="2"/>
  <c r="B39" i="1" s="1"/>
  <c r="B40" s="1"/>
  <c r="B50" s="1"/>
  <c r="D5" s="1"/>
  <c r="D7" s="1"/>
  <c r="D11" s="1"/>
  <c r="S98" i="2"/>
  <c r="U135" s="1"/>
  <c r="S100"/>
  <c r="O38" i="1"/>
  <c r="Q39"/>
  <c r="R93" i="2"/>
  <c r="F107"/>
  <c r="F108" s="1"/>
  <c r="F109" s="1"/>
  <c r="M107"/>
  <c r="M108" s="1"/>
  <c r="M109" s="1"/>
  <c r="BE4" i="3"/>
  <c r="BD5" i="21039" s="1"/>
  <c r="C117" i="2"/>
  <c r="B120"/>
  <c r="B121" s="1"/>
  <c r="B122" s="1"/>
  <c r="BC51" i="21039"/>
  <c r="BC44"/>
  <c r="K24" i="1"/>
  <c r="L24" s="1"/>
  <c r="T57"/>
  <c r="T58" s="1"/>
  <c r="I46"/>
  <c r="K46"/>
  <c r="N35" s="1"/>
  <c r="BP51" i="21039"/>
  <c r="BP44"/>
  <c r="D144" i="2"/>
  <c r="D145" s="1"/>
  <c r="D146" s="1"/>
  <c r="L39" i="1"/>
  <c r="C144" i="2"/>
  <c r="C145" s="1"/>
  <c r="C146" s="1"/>
  <c r="C130"/>
  <c r="P49" i="1"/>
  <c r="O48"/>
  <c r="C107" i="2"/>
  <c r="C108" s="1"/>
  <c r="C109" s="1"/>
  <c r="C35" l="1"/>
  <c r="X51" i="21039"/>
  <c r="X44"/>
  <c r="G46" i="2"/>
  <c r="G49" s="1"/>
  <c r="Z4" i="3"/>
  <c r="Y5" i="21039" s="1"/>
  <c r="G50" i="2"/>
  <c r="H43"/>
  <c r="G56"/>
  <c r="C39"/>
  <c r="U149"/>
  <c r="U150"/>
  <c r="S106"/>
  <c r="S107" s="1"/>
  <c r="S109" s="1"/>
  <c r="I25" i="1"/>
  <c r="I27" s="1"/>
  <c r="I32" s="1"/>
  <c r="D117" i="2"/>
  <c r="C120"/>
  <c r="C121" s="1"/>
  <c r="C122" s="1"/>
  <c r="C124"/>
  <c r="BF4" i="3"/>
  <c r="BE5" i="21039" s="1"/>
  <c r="BD44"/>
  <c r="BD51"/>
  <c r="B51" i="1"/>
  <c r="T8"/>
  <c r="T6"/>
  <c r="T10"/>
  <c r="N10" s="1"/>
  <c r="D13"/>
  <c r="U146" i="2" l="1"/>
  <c r="L12" i="1" s="1"/>
  <c r="L18" s="1"/>
  <c r="D14" s="1"/>
  <c r="O42"/>
  <c r="Q43"/>
  <c r="O40"/>
  <c r="Q41"/>
  <c r="H50" i="2"/>
  <c r="AA4" i="3"/>
  <c r="Z5" i="21039" s="1"/>
  <c r="I43" i="2"/>
  <c r="H46"/>
  <c r="H56"/>
  <c r="H49"/>
  <c r="I49" s="1"/>
  <c r="J49" s="1"/>
  <c r="Y44" i="21039"/>
  <c r="Y51"/>
  <c r="S93" i="2"/>
  <c r="K25" i="1"/>
  <c r="L25" s="1"/>
  <c r="U143" i="2"/>
  <c r="D124"/>
  <c r="BG4" i="3"/>
  <c r="BF5" i="21039" s="1"/>
  <c r="E117" i="2"/>
  <c r="D120"/>
  <c r="D130"/>
  <c r="BE44" i="21039"/>
  <c r="BE51"/>
  <c r="S8" i="1"/>
  <c r="S6"/>
  <c r="E11" i="21040"/>
  <c r="I50" i="1"/>
  <c r="B14" l="1"/>
  <c r="E3" i="21040"/>
  <c r="E7" s="1"/>
  <c r="A14" i="1"/>
  <c r="B19" i="21040" s="1"/>
  <c r="Z51" i="21039"/>
  <c r="Z44"/>
  <c r="J43" i="2"/>
  <c r="I50"/>
  <c r="AB4" i="3"/>
  <c r="AA5" i="21039" s="1"/>
  <c r="I46" i="2"/>
  <c r="I56"/>
  <c r="K27" i="1"/>
  <c r="K32" s="1"/>
  <c r="N21" s="1"/>
  <c r="BF51" i="21039"/>
  <c r="BF44"/>
  <c r="E124" i="2"/>
  <c r="E130"/>
  <c r="E120"/>
  <c r="BH4" i="3"/>
  <c r="BG5" i="21039" s="1"/>
  <c r="D121" i="2"/>
  <c r="D122" s="1"/>
  <c r="K50" i="1"/>
  <c r="I51"/>
  <c r="B18" i="21040"/>
  <c r="AA44" i="21039" l="1"/>
  <c r="AA51"/>
  <c r="AC4" i="3"/>
  <c r="AB5" i="21039" s="1"/>
  <c r="J50" i="2"/>
  <c r="J46"/>
  <c r="K43"/>
  <c r="J56"/>
  <c r="E84"/>
  <c r="E85" s="1"/>
  <c r="E121"/>
  <c r="E122" s="1"/>
  <c r="BG44" i="21039"/>
  <c r="BG51"/>
  <c r="K51" i="1"/>
  <c r="K34"/>
  <c r="L43" i="2" l="1"/>
  <c r="K46"/>
  <c r="AD4" i="3"/>
  <c r="AC5" i="21039" s="1"/>
  <c r="K50" i="2"/>
  <c r="K56"/>
  <c r="AB44" i="21039"/>
  <c r="AB51"/>
  <c r="L46" i="2" l="1"/>
  <c r="AE4" i="3"/>
  <c r="AD5" i="21039" s="1"/>
  <c r="M43" i="2"/>
  <c r="L50"/>
  <c r="L56"/>
  <c r="K49"/>
  <c r="AC51" i="21039"/>
  <c r="AC44"/>
  <c r="L49" i="2" l="1"/>
  <c r="AD44" i="21039"/>
  <c r="AD51"/>
  <c r="AF4" i="3"/>
  <c r="AE5" i="21039" s="1"/>
  <c r="M46" i="2"/>
  <c r="M50"/>
  <c r="N43"/>
  <c r="M56"/>
  <c r="AG4" i="3" l="1"/>
  <c r="AF5" i="21039" s="1"/>
  <c r="O43" i="2"/>
  <c r="N46"/>
  <c r="N50"/>
  <c r="N56"/>
  <c r="AE44" i="21039"/>
  <c r="AE51"/>
  <c r="M49" i="2"/>
  <c r="E10"/>
  <c r="E11" s="1"/>
  <c r="AF51" i="21039" l="1"/>
  <c r="AF44"/>
  <c r="N49" i="2"/>
  <c r="O50"/>
  <c r="O46"/>
  <c r="L10" s="1"/>
  <c r="L11" s="1"/>
  <c r="P43"/>
  <c r="AH4" i="3"/>
  <c r="AG5" i="21039" s="1"/>
  <c r="O56" i="2"/>
  <c r="F10"/>
  <c r="F11" s="1"/>
  <c r="O49" l="1"/>
  <c r="G10"/>
  <c r="G11" s="1"/>
  <c r="AG51" i="21039"/>
  <c r="AG44"/>
  <c r="P50" i="2"/>
  <c r="P46"/>
  <c r="M10" s="1"/>
  <c r="M11" s="1"/>
  <c r="Q43"/>
  <c r="AI4" i="3"/>
  <c r="AH5" i="21039" s="1"/>
  <c r="P56" i="2"/>
  <c r="Q50" l="1"/>
  <c r="AJ4" i="3"/>
  <c r="AI5" i="21039" s="1"/>
  <c r="Q46" i="2"/>
  <c r="N10" s="1"/>
  <c r="N11" s="1"/>
  <c r="R43"/>
  <c r="Q56"/>
  <c r="AH51" i="21039"/>
  <c r="AH44"/>
  <c r="P49" i="2"/>
  <c r="H10"/>
  <c r="H11" s="1"/>
  <c r="AI51" i="21039" l="1"/>
  <c r="AI44"/>
  <c r="Q49" i="2"/>
  <c r="R49" s="1"/>
  <c r="S49" s="1"/>
  <c r="I10"/>
  <c r="I11" s="1"/>
  <c r="AK4" i="3"/>
  <c r="AJ5" i="21039" s="1"/>
  <c r="S43" i="2"/>
  <c r="R46"/>
  <c r="J10" s="1"/>
  <c r="J11" s="1"/>
  <c r="R50"/>
  <c r="R56"/>
  <c r="O10" l="1"/>
  <c r="O11" s="1"/>
  <c r="Q10"/>
  <c r="Q11" s="1"/>
  <c r="B86"/>
  <c r="C86" s="1"/>
  <c r="D86" s="1"/>
  <c r="E86" s="1"/>
  <c r="F86" s="1"/>
  <c r="G86" s="1"/>
  <c r="H86" s="1"/>
  <c r="I86" s="1"/>
  <c r="J86" s="1"/>
  <c r="K86" s="1"/>
  <c r="L86" s="1"/>
  <c r="M86" s="1"/>
  <c r="N86" s="1"/>
  <c r="O86" s="1"/>
  <c r="P86" s="1"/>
  <c r="Q86" s="1"/>
  <c r="R86" s="1"/>
  <c r="S86" s="1"/>
  <c r="B123" s="1"/>
  <c r="C123" s="1"/>
  <c r="D123" s="1"/>
  <c r="E123" s="1"/>
  <c r="AJ44" i="21039"/>
  <c r="AJ51"/>
  <c r="S50" i="2"/>
  <c r="S46"/>
  <c r="K10" s="1"/>
  <c r="K11" s="1"/>
  <c r="AL4" i="3"/>
  <c r="AK5" i="21039" s="1"/>
  <c r="B80" i="2"/>
  <c r="S56"/>
  <c r="U123" l="1"/>
  <c r="S10"/>
  <c r="S11" s="1"/>
  <c r="R10"/>
  <c r="R11" s="1"/>
  <c r="P10"/>
  <c r="P11" s="1"/>
  <c r="AK51" i="21039"/>
  <c r="AK44"/>
  <c r="B83" i="2"/>
  <c r="B84" s="1"/>
  <c r="B85" s="1"/>
  <c r="AM4" i="3"/>
  <c r="AL5" i="21039" s="1"/>
  <c r="B87" i="2"/>
  <c r="C80"/>
  <c r="B93"/>
  <c r="D80" l="1"/>
  <c r="C83"/>
  <c r="AN4" i="3"/>
  <c r="AM5" i="21039" s="1"/>
  <c r="C87" i="2"/>
  <c r="C93"/>
  <c r="Q31" i="1"/>
  <c r="AL51" i="21039"/>
  <c r="AL44"/>
  <c r="AO4" i="3" l="1"/>
  <c r="AN5" i="21039" s="1"/>
  <c r="D83" i="2"/>
  <c r="D87"/>
  <c r="E87"/>
  <c r="D93"/>
  <c r="AM51" i="21039"/>
  <c r="AM44"/>
  <c r="C84" i="2"/>
  <c r="C85" s="1"/>
  <c r="B47"/>
  <c r="B48" s="1"/>
  <c r="B10"/>
  <c r="B11" s="1"/>
  <c r="U124"/>
  <c r="AN51" i="21039" l="1"/>
  <c r="AN44"/>
  <c r="D84" i="2"/>
  <c r="D85" s="1"/>
  <c r="C47"/>
  <c r="C48" s="1"/>
  <c r="D47"/>
  <c r="D48" s="1"/>
  <c r="C10"/>
  <c r="C11" s="1"/>
  <c r="D10"/>
  <c r="D11" s="1"/>
  <c r="I47"/>
  <c r="I48" s="1"/>
  <c r="H47"/>
  <c r="H48" s="1"/>
  <c r="E47"/>
  <c r="E48" s="1"/>
  <c r="F47"/>
  <c r="F48" s="1"/>
  <c r="J47"/>
  <c r="J48" s="1"/>
  <c r="G47"/>
  <c r="G48" s="1"/>
  <c r="K47"/>
  <c r="K48" s="1"/>
  <c r="L47"/>
  <c r="L48" s="1"/>
  <c r="M47"/>
  <c r="M48" s="1"/>
  <c r="N47"/>
  <c r="N48" s="1"/>
  <c r="O47"/>
  <c r="O48" s="1"/>
  <c r="P47"/>
  <c r="P48" s="1"/>
  <c r="Q47"/>
  <c r="Q48" s="1"/>
  <c r="R47"/>
  <c r="R48" s="1"/>
  <c r="S47"/>
  <c r="S48" s="1"/>
  <c r="Q15" i="1"/>
</calcChain>
</file>

<file path=xl/sharedStrings.xml><?xml version="1.0" encoding="utf-8"?>
<sst xmlns="http://schemas.openxmlformats.org/spreadsheetml/2006/main" count="641" uniqueCount="272">
  <si>
    <t>CALCULATED BALANCE OVER YEAR</t>
  </si>
  <si>
    <t>OVERALL</t>
  </si>
  <si>
    <t>BANK POSITION AT LAST MEETING</t>
  </si>
  <si>
    <t>NOTES</t>
  </si>
  <si>
    <t>OPERATING SURPLUS OVER YEAR</t>
  </si>
  <si>
    <t>FLOATING FUND AT START OF YEAR</t>
  </si>
  <si>
    <t>BANK POSITION THIS YEAR</t>
  </si>
  <si>
    <t>BALANCE @</t>
  </si>
  <si>
    <t>FLOATING FUND CARRIED FORWARD TO NEXT YEAR</t>
  </si>
  <si>
    <t xml:space="preserve">Boat use: </t>
  </si>
  <si>
    <t xml:space="preserve">Weeks </t>
  </si>
  <si>
    <t>TRIP DETAILS</t>
  </si>
  <si>
    <t>TOTALS</t>
  </si>
  <si>
    <t>Last Year</t>
  </si>
  <si>
    <t>NUMBER OF DAYS ON BOAT</t>
  </si>
  <si>
    <t>NUMBER OF NON-PARTICIPANT-DAYS</t>
  </si>
  <si>
    <t>INCOME</t>
  </si>
  <si>
    <t>INCOME ANALYSIS</t>
  </si>
  <si>
    <t>ACTUAL</t>
  </si>
  <si>
    <t>BUDGET</t>
  </si>
  <si>
    <t>Income from non participants</t>
  </si>
  <si>
    <t>Trip charge v pump-outs (NET)</t>
  </si>
  <si>
    <t>INCOME OVER YEAR</t>
  </si>
  <si>
    <t>Daily charge v Fuel,gas,oil etc (NET)</t>
  </si>
  <si>
    <t>TOTAL</t>
  </si>
  <si>
    <t>FIXED CHARGE (PER TRIP)</t>
  </si>
  <si>
    <t>DAILY CHARGE (FUEL/GAS ETC.)</t>
  </si>
  <si>
    <t>Daily:</t>
  </si>
  <si>
    <t>Fuel+ Oil/day</t>
  </si>
  <si>
    <t>NON PARTICIPANTS' CONTRIBUTIONS</t>
  </si>
  <si>
    <t>Gas/day</t>
  </si>
  <si>
    <t>SHARES</t>
  </si>
  <si>
    <t>Trip:</t>
  </si>
  <si>
    <t>PumpO/trip</t>
  </si>
  <si>
    <t>TOTAL INCOME</t>
  </si>
  <si>
    <t>TOTAL BUDGETED INCOME</t>
  </si>
  <si>
    <t>EXPENDITURE OVER YEAR</t>
  </si>
  <si>
    <t>EXPENDITURE</t>
  </si>
  <si>
    <t>RUNNING COSTS</t>
  </si>
  <si>
    <t>GAS</t>
  </si>
  <si>
    <t xml:space="preserve">FUEL </t>
  </si>
  <si>
    <t>ENGINE OIL</t>
  </si>
  <si>
    <t>EXPENDITURE ANALYSIS</t>
  </si>
  <si>
    <t>REPLACEMENTS</t>
  </si>
  <si>
    <t>TOTAL (COVERED BY DAILY CHARGE)</t>
  </si>
  <si>
    <t>PUMP-OUT</t>
  </si>
  <si>
    <t>TOTAL COVERED BY FIXED CHARGE</t>
  </si>
  <si>
    <t>OTHER COSTS</t>
  </si>
  <si>
    <t>Account charges</t>
  </si>
  <si>
    <t>SCHEDULED MAINTENANCE</t>
  </si>
  <si>
    <t>UNPLANNED EXPENDITURE</t>
  </si>
  <si>
    <t>MOORINGS ETC.</t>
  </si>
  <si>
    <t>ACCOUNT CHARGES</t>
  </si>
  <si>
    <t>YEAR EXPENDITURE</t>
  </si>
  <si>
    <t>REPLATING</t>
  </si>
  <si>
    <t>TOTAL EXPENDITURE</t>
  </si>
  <si>
    <t>TOTAL INCLUDING FLOATING FUND</t>
  </si>
  <si>
    <t>MAINTENANCE</t>
  </si>
  <si>
    <t>C</t>
  </si>
  <si>
    <t>Balance on jobs completed</t>
  </si>
  <si>
    <t>(C)</t>
  </si>
  <si>
    <t>X</t>
  </si>
  <si>
    <t>OTHER &amp; UNPLANNED EXPENDITURE</t>
  </si>
  <si>
    <t>(X)</t>
  </si>
  <si>
    <t>N</t>
  </si>
  <si>
    <t>(N)</t>
  </si>
  <si>
    <t>INCOME - SUBS</t>
  </si>
  <si>
    <t>CJ/DJ</t>
  </si>
  <si>
    <t>SHARE</t>
  </si>
  <si>
    <t>DEPOSIT SLIP</t>
  </si>
  <si>
    <t>post bal.</t>
  </si>
  <si>
    <t>SUBMITTED BY:</t>
  </si>
  <si>
    <t>TRIP START (DD/MM/YY)</t>
  </si>
  <si>
    <t>TOTAL CONTRIBUTION</t>
  </si>
  <si>
    <t>MAINT</t>
  </si>
  <si>
    <t>EXPENDITURE - RUNNING COSTS</t>
  </si>
  <si>
    <t>EXPENDITURE - OTHER COSTS</t>
  </si>
  <si>
    <t>TOTAL (OTHER COSTS)</t>
  </si>
  <si>
    <t>Cheque number</t>
  </si>
  <si>
    <t>TOTAL SCHEDULED MAINTENANCE</t>
  </si>
  <si>
    <t>TOTAL FUNDED BY FLOATING FUND</t>
  </si>
  <si>
    <t>SPECIAL PROJECTS</t>
  </si>
  <si>
    <t>TOTAL UNPLANNED EXPENDITURE</t>
  </si>
  <si>
    <t>TOTAL INCOME FROM PROVISIONS</t>
  </si>
  <si>
    <t>TOTAL EXPENDITURE TO PROVISIONS</t>
  </si>
  <si>
    <t xml:space="preserve">Actual </t>
  </si>
  <si>
    <t>Income</t>
  </si>
  <si>
    <t>Provisioned</t>
  </si>
  <si>
    <t>Shortfall</t>
  </si>
  <si>
    <t>Expenditure</t>
  </si>
  <si>
    <t>PUMP-OUT - TOTAL (COVERED BY TRIP CHARGE)</t>
  </si>
  <si>
    <t>UNDER SPEND</t>
  </si>
  <si>
    <t>PROVISIONS FOR THIS YEAR INTO NEXT</t>
  </si>
  <si>
    <t>YEAR=</t>
  </si>
  <si>
    <t>START WEEK</t>
  </si>
  <si>
    <t>Class</t>
  </si>
  <si>
    <t>class</t>
  </si>
  <si>
    <t>Jobs over budget</t>
  </si>
  <si>
    <t>PROVISIONED INCOME</t>
  </si>
  <si>
    <t>PROVISIONED EXPENSES</t>
  </si>
  <si>
    <t>OLYMPIC ACCOUNTS</t>
  </si>
  <si>
    <t>STATUS REPORT</t>
  </si>
  <si>
    <t>CLAIM DETAILS</t>
  </si>
  <si>
    <t>CLAIM DETAILS - MAINTENANCE</t>
  </si>
  <si>
    <t>ADJUST THE HEADER POSITIONS BEFORE/AFTER HIDING COLUMNS!</t>
  </si>
  <si>
    <t>HEADER!</t>
  </si>
  <si>
    <t>CLAIM DETAILS - OTHER EXPENSES</t>
  </si>
  <si>
    <t>AND PROVISIONS INTO NEXT YEAR</t>
  </si>
  <si>
    <t>LATE BANKING FROM PREVIOUS YEARS</t>
  </si>
  <si>
    <t>FLOATING FUND AVAILABLE FOR SPECIAL PROJECTS</t>
  </si>
  <si>
    <t>P</t>
  </si>
  <si>
    <t>Moorings, Insurance, BWB licence</t>
  </si>
  <si>
    <t>BETTER THAN BUDGET</t>
  </si>
  <si>
    <t>Residue</t>
  </si>
  <si>
    <t>Balance remaining on jobs not yet charged</t>
  </si>
  <si>
    <t>Emergencies &amp; Unplanned (+ written off debt)</t>
  </si>
  <si>
    <t>SUBSCRIPTIONS RECEIVED</t>
  </si>
  <si>
    <t/>
  </si>
  <si>
    <t>Updated:</t>
  </si>
  <si>
    <t>PB</t>
  </si>
  <si>
    <t>DRK</t>
  </si>
  <si>
    <t>DF</t>
  </si>
  <si>
    <t>DJB</t>
  </si>
  <si>
    <t>DA/HA</t>
  </si>
  <si>
    <t>HIDE - Post bal calculation</t>
  </si>
  <si>
    <t>HIDE - Insurance</t>
  </si>
  <si>
    <t>HIDE - BWB Mooring</t>
  </si>
  <si>
    <t>HIDE - Licence</t>
  </si>
  <si>
    <t>HIDE - Casual mooring</t>
  </si>
  <si>
    <t>HIDE - Used weeks calculation</t>
  </si>
  <si>
    <t>HIDE - Scheduled weeks calculation</t>
  </si>
  <si>
    <t>HIDE - Used weeks calculation - week start date (Friday)</t>
  </si>
  <si>
    <t>DONATIONS</t>
  </si>
  <si>
    <t>UNPLANNED EXPENDITURE AND DONATIONS</t>
  </si>
  <si>
    <t>GIFTS &amp; DONATIONS</t>
  </si>
  <si>
    <t>Balance on jobs abandoned</t>
  </si>
  <si>
    <t>Budget</t>
  </si>
  <si>
    <t>Fix T1 before Web Issue</t>
  </si>
  <si>
    <t>Cheque / Deposit slip number</t>
  </si>
  <si>
    <r>
      <t xml:space="preserve">Net to be paid in / </t>
    </r>
    <r>
      <rPr>
        <b/>
        <sz val="6"/>
        <color indexed="10"/>
        <rFont val="Arial"/>
        <family val="2"/>
      </rPr>
      <t xml:space="preserve">out </t>
    </r>
  </si>
  <si>
    <r>
      <t xml:space="preserve">CREDITS / </t>
    </r>
    <r>
      <rPr>
        <sz val="6"/>
        <color indexed="10"/>
        <rFont val="Arial"/>
        <family val="2"/>
      </rPr>
      <t>DEBITS</t>
    </r>
    <r>
      <rPr>
        <sz val="6"/>
        <rFont val="Arial"/>
        <family val="2"/>
      </rPr>
      <t xml:space="preserve"> EXPECTED POST BALANCE</t>
    </r>
  </si>
  <si>
    <t>Balance on jobs not done/completed</t>
  </si>
  <si>
    <t>GRB/MJ</t>
  </si>
  <si>
    <t>Cost</t>
  </si>
  <si>
    <t>JGC</t>
  </si>
  <si>
    <t>HIDE - Used week</t>
  </si>
  <si>
    <t>HIDE - Used weeks sumation</t>
  </si>
  <si>
    <t>HIDE - Already Used, scheduled week?</t>
  </si>
  <si>
    <t>CURRENT BALANCE AFTER ALL CHEQUES AND DEPOSITS HAVE CLEARED</t>
  </si>
  <si>
    <t>Current Balance Calculated from Start of Year Balance + Trip Accounts</t>
  </si>
  <si>
    <t>Bank Debits with no corresponding trip account</t>
  </si>
  <si>
    <t>Bank Credits with no corresponding trip account</t>
  </si>
  <si>
    <t>Cells coloured Yellow can be updated</t>
  </si>
  <si>
    <t>TRIP ACCOUNTS IN SCHEDULED WEEKS</t>
  </si>
  <si>
    <t>Date</t>
  </si>
  <si>
    <t>Who</t>
  </si>
  <si>
    <t>DEPOSIT SLIP NUMBER</t>
  </si>
  <si>
    <t>BALANCE IN BANK @</t>
  </si>
  <si>
    <t xml:space="preserve">An error message will appear below if the two balances above are different. </t>
  </si>
  <si>
    <t>TRIP ACCOUNTS FOR SCHEDULED WEEKS</t>
  </si>
  <si>
    <t>Cell E9 may be needed where (e.g.) someone has paid in an amount which can't be reconciled with a trip sheet.</t>
  </si>
  <si>
    <t>Cell E10 may be needed where a bank debit can't be reconciled with an existing trip sheet (unlikely).</t>
  </si>
  <si>
    <t>2 years ago</t>
  </si>
  <si>
    <t>Fuel rate in each year is sensitive to final &amp; initial fill up.</t>
  </si>
  <si>
    <t xml:space="preserve">KEY WORDS - USE IN "SUBMITTED BY:" &lt;Insurance&gt;, &lt;Licence&gt;, &lt;Mooring&gt;-use only for annual mooring charge </t>
  </si>
  <si>
    <t>Insurance</t>
  </si>
  <si>
    <t>Mooring</t>
  </si>
  <si>
    <t>Licence</t>
  </si>
  <si>
    <t>Overspend</t>
  </si>
  <si>
    <t>Completed or committed jobs not claimed. (Provisioned)</t>
  </si>
  <si>
    <t>(P)rovisioned:</t>
  </si>
  <si>
    <t>Budget reset from £800 in 2008 (£1000 in 2005)</t>
  </si>
  <si>
    <t xml:space="preserve">Working w/e food </t>
  </si>
  <si>
    <t>TRIP SHEET CREDITS / DEBITS EXPECTED (NOT IN  LAST BANK BALANCE)</t>
  </si>
  <si>
    <t>TM</t>
  </si>
  <si>
    <t xml:space="preserve">Clean boat after working w/e - Co-ordinate </t>
  </si>
  <si>
    <t>Restock CH antifreeze &amp; check water levels</t>
  </si>
  <si>
    <t>Restock diesel tonic and oil + fuel+ air filters</t>
  </si>
  <si>
    <t>Restock water filters &amp; Freezeban</t>
  </si>
  <si>
    <t>Y</t>
  </si>
  <si>
    <t>unscheduled</t>
  </si>
  <si>
    <t>Re-stock first aid kit as needed</t>
  </si>
  <si>
    <t>Winter</t>
  </si>
  <si>
    <t xml:space="preserve"> </t>
  </si>
  <si>
    <t>ADDITIONAL TRIPS AND OTHER ACCOUNTS</t>
  </si>
  <si>
    <t>MOORING, LICENCE , INSURANCE.</t>
  </si>
  <si>
    <t>ADDITIONAL TRIPS (&gt;1 IN A WEEK) AND EXPENSES CLAIMED SEPARATELY FROM A TRIP (EG. WORK W/E)</t>
  </si>
  <si>
    <t>Hull fund</t>
  </si>
  <si>
    <t>Total</t>
  </si>
  <si>
    <t>Subscription</t>
  </si>
  <si>
    <t>Budget = 8.5 shares @ £430</t>
  </si>
  <si>
    <t xml:space="preserve">Floating Fund last year  was </t>
  </si>
  <si>
    <t>PROVISIONS</t>
  </si>
  <si>
    <t>.</t>
  </si>
  <si>
    <r>
      <t xml:space="preserve">REPLACEMENTS </t>
    </r>
    <r>
      <rPr>
        <b/>
        <sz val="6"/>
        <rFont val="Arial"/>
        <family val="2"/>
      </rPr>
      <t>(LOSS &amp; BREAKAGE)</t>
    </r>
  </si>
  <si>
    <r>
      <t xml:space="preserve">UNPLANNED </t>
    </r>
    <r>
      <rPr>
        <b/>
        <sz val="7"/>
        <rFont val="Arial"/>
        <family val="2"/>
      </rPr>
      <t>Items highlighting significant incidents</t>
    </r>
  </si>
  <si>
    <t>total</t>
  </si>
  <si>
    <t>None</t>
  </si>
  <si>
    <t>NET PROVISIONS INTO 2018</t>
  </si>
  <si>
    <t>(see below for details)</t>
  </si>
  <si>
    <t>CREDITS / DEBITS EXPECTED POST BALANCE</t>
  </si>
  <si>
    <t xml:space="preserve">  JOBS FOR THIS YEAR</t>
  </si>
  <si>
    <t>Make a new cover for the rear steps</t>
  </si>
  <si>
    <t xml:space="preserve">Add spotlight option to front headlight.  </t>
  </si>
  <si>
    <t>Replace anchor rope</t>
  </si>
  <si>
    <t>Resolve water pump voltage problem</t>
  </si>
  <si>
    <t>Balance on jobs started &amp; not complete</t>
  </si>
  <si>
    <t>(S)</t>
  </si>
  <si>
    <t>S</t>
  </si>
  <si>
    <t>Jobs not done /abandoned (no spend)</t>
  </si>
  <si>
    <t xml:space="preserve">WRITTEN-OFF </t>
  </si>
  <si>
    <t>FUEL</t>
  </si>
  <si>
    <t xml:space="preserve">UNPLANNED  </t>
  </si>
  <si>
    <t>Scheduled maintenance</t>
  </si>
  <si>
    <r>
      <t>Gifts &amp; donations</t>
    </r>
    <r>
      <rPr>
        <sz val="6"/>
        <color indexed="10"/>
        <rFont val="Arial"/>
        <family val="2"/>
      </rPr>
      <t xml:space="preserve"> </t>
    </r>
  </si>
  <si>
    <t>18 out of 19 scheduled weeks last year</t>
  </si>
  <si>
    <t xml:space="preserve">  JOBS TO BE DONE EVERY YEAR</t>
  </si>
  <si>
    <t>Replace batteries in CO detector (due 2019)</t>
  </si>
  <si>
    <t>Restock pumpout cards (not maintenance - charge to pump out)</t>
  </si>
  <si>
    <t>Check operation of, maintain / refurbish both loos.  Front loo loose?</t>
  </si>
  <si>
    <t>De-winterise water pump, PSH &amp; shower. 2019 failed diodes &amp; drain pump</t>
  </si>
  <si>
    <t>Replace pillows  (if needed)</t>
  </si>
  <si>
    <t>Remove all surplus materials and food etc</t>
  </si>
  <si>
    <t xml:space="preserve">Check mounts,  transmission and alternator belt </t>
  </si>
  <si>
    <t xml:space="preserve">Check/fix bilge pumps and auto switches operational </t>
  </si>
  <si>
    <t>Service engine</t>
  </si>
  <si>
    <t>Laundry: clean blankets &amp; curtains  (2019 repair)</t>
  </si>
  <si>
    <t>Fix front door (lower hinge failed, draughty, Replave lock - no double locking)</t>
  </si>
  <si>
    <t>Secure steps from side hatch and the front step</t>
  </si>
  <si>
    <t>Shelving in dining area - lip to top shelf, wire stops, extra shelf above pipe, and varnish</t>
  </si>
  <si>
    <t>New curtain wires and fixing eyes</t>
  </si>
  <si>
    <t>Clean engine bilge, check for corrosion and paint</t>
  </si>
  <si>
    <t>Painting programme - front well, gunnel, rear counter, general touch-up</t>
  </si>
  <si>
    <t>Find or replace tiller</t>
  </si>
  <si>
    <t>Lights replacement/upgrade (see list at bottom)</t>
  </si>
  <si>
    <t>USB upgrades (2.1A) and install shelf with space for sockets and phones?</t>
  </si>
  <si>
    <t>Fit new silencer</t>
  </si>
  <si>
    <t>Diesel leak under steps</t>
  </si>
  <si>
    <t>Resolve starter issue</t>
  </si>
  <si>
    <t>Replace rubber matting over rear boards</t>
  </si>
  <si>
    <t>Repair or replace rear boards (edging failed)</t>
  </si>
  <si>
    <t>Refix front fender</t>
  </si>
  <si>
    <t>Replace rotting side hatch door</t>
  </si>
  <si>
    <t>Mattress/cushion replacement programme</t>
  </si>
  <si>
    <t>Special Projects</t>
  </si>
  <si>
    <t>Excluding Special projects</t>
  </si>
  <si>
    <t>Including Special Projects</t>
  </si>
  <si>
    <t>GRB</t>
  </si>
  <si>
    <t>PAYMENT REFERENCE</t>
  </si>
  <si>
    <t>External switches / buttons for start. Headlight etc</t>
  </si>
  <si>
    <t>Refund of claim made twice</t>
  </si>
  <si>
    <t>WRG Donation</t>
  </si>
  <si>
    <t>online</t>
  </si>
  <si>
    <t>auto</t>
  </si>
  <si>
    <t>Waterways Recovery Group</t>
  </si>
  <si>
    <t>JGB</t>
  </si>
  <si>
    <t>Starter battery</t>
  </si>
  <si>
    <t>Atlass</t>
  </si>
  <si>
    <t>Battery charger</t>
  </si>
  <si>
    <t>D Kee</t>
  </si>
  <si>
    <t>Fisher</t>
  </si>
  <si>
    <t>Egg cups</t>
  </si>
  <si>
    <t>Faulkner</t>
  </si>
  <si>
    <t>2 Toilet brushes</t>
  </si>
  <si>
    <t>External sealant</t>
  </si>
  <si>
    <t>wine glasses</t>
  </si>
  <si>
    <t>CJ?DJ</t>
  </si>
  <si>
    <t>Black cylindrical fender</t>
  </si>
  <si>
    <t>Mop bucket</t>
  </si>
  <si>
    <t>Extension lead</t>
  </si>
  <si>
    <t>Fresh water system, underfloor drain pump replacement.</t>
  </si>
  <si>
    <t>Domain registration for Olympic.me.uk for 2 years from 28/1/20</t>
  </si>
</sst>
</file>

<file path=xl/styles.xml><?xml version="1.0" encoding="utf-8"?>
<styleSheet xmlns="http://schemas.openxmlformats.org/spreadsheetml/2006/main">
  <numFmts count="15">
    <numFmt numFmtId="6" formatCode="&quot;£&quot;#,##0;[Red]\-&quot;£&quot;#,##0"/>
    <numFmt numFmtId="8" formatCode="&quot;£&quot;#,##0.00;[Red]\-&quot;£&quot;#,##0.00"/>
    <numFmt numFmtId="164" formatCode="\$#,##0\ ;\(\$#,##0\)"/>
    <numFmt numFmtId="165" formatCode="\$#,##0.00\ ;\(\$#,##0.00\)"/>
    <numFmt numFmtId="166" formatCode="m/d/yy"/>
    <numFmt numFmtId="167" formatCode="d\-mmm\-yy"/>
    <numFmt numFmtId="168" formatCode="&quot;£&quot;#,##0.00"/>
    <numFmt numFmtId="169" formatCode="&quot;£&quot;#,##0"/>
    <numFmt numFmtId="170" formatCode="&quot;£&quot;#,##0.00;[Red]&quot;£&quot;#,##0.00"/>
    <numFmt numFmtId="171" formatCode="0.0"/>
    <numFmt numFmtId="172" formatCode="mmmm\ d\,\ yyyy"/>
    <numFmt numFmtId="173" formatCode="&quot;£&quot;#,##0.000000"/>
    <numFmt numFmtId="174" formatCode="0.00000000E+00"/>
    <numFmt numFmtId="175" formatCode="#,##0;[Red]#,##0"/>
    <numFmt numFmtId="176" formatCode="#,##0.00;[Red]#,##0.00"/>
  </numFmts>
  <fonts count="52">
    <font>
      <sz val="6"/>
      <name val="Arial"/>
      <family val="2"/>
    </font>
    <font>
      <sz val="14"/>
      <color indexed="24"/>
      <name val="Times New Roman"/>
      <family val="1"/>
    </font>
    <font>
      <b/>
      <i/>
      <sz val="12"/>
      <color indexed="24"/>
      <name val="Times New Roman"/>
      <family val="1"/>
    </font>
    <font>
      <b/>
      <sz val="8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i/>
      <sz val="8"/>
      <name val="Arial"/>
      <family val="2"/>
    </font>
    <font>
      <i/>
      <sz val="6"/>
      <name val="Arial"/>
      <family val="2"/>
    </font>
    <font>
      <b/>
      <sz val="24"/>
      <name val="Arial"/>
      <family val="2"/>
    </font>
    <font>
      <b/>
      <i/>
      <sz val="16"/>
      <name val="Arial"/>
      <family val="2"/>
    </font>
    <font>
      <sz val="18"/>
      <name val="Arial"/>
      <family val="2"/>
    </font>
    <font>
      <sz val="6"/>
      <color indexed="10"/>
      <name val="Arial"/>
      <family val="2"/>
    </font>
    <font>
      <b/>
      <sz val="18"/>
      <name val="Arial"/>
      <family val="2"/>
    </font>
    <font>
      <sz val="6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6"/>
      <name val="Arial"/>
      <family val="2"/>
    </font>
    <font>
      <b/>
      <sz val="28"/>
      <name val="Arial"/>
      <family val="2"/>
    </font>
    <font>
      <b/>
      <sz val="20"/>
      <name val="Arial"/>
      <family val="2"/>
    </font>
    <font>
      <i/>
      <sz val="30"/>
      <name val="Arial"/>
      <family val="2"/>
    </font>
    <font>
      <i/>
      <sz val="28"/>
      <name val="Arial"/>
      <family val="2"/>
    </font>
    <font>
      <b/>
      <sz val="22"/>
      <name val="Arial"/>
      <family val="2"/>
    </font>
    <font>
      <i/>
      <sz val="22"/>
      <name val="Arial"/>
      <family val="2"/>
    </font>
    <font>
      <b/>
      <i/>
      <sz val="8"/>
      <name val="Arial"/>
      <family val="2"/>
    </font>
    <font>
      <sz val="6"/>
      <color indexed="17"/>
      <name val="Arial"/>
      <family val="2"/>
    </font>
    <font>
      <b/>
      <sz val="6"/>
      <color indexed="10"/>
      <name val="Arial"/>
      <family val="2"/>
    </font>
    <font>
      <sz val="1"/>
      <name val="Arial"/>
      <family val="2"/>
    </font>
    <font>
      <b/>
      <sz val="16"/>
      <name val="Arial"/>
      <family val="2"/>
    </font>
    <font>
      <b/>
      <sz val="20"/>
      <color indexed="10"/>
      <name val="Arial"/>
      <family val="2"/>
    </font>
    <font>
      <b/>
      <sz val="26"/>
      <color indexed="10"/>
      <name val="Arial"/>
      <family val="2"/>
    </font>
    <font>
      <sz val="6"/>
      <color indexed="12"/>
      <name val="Arial"/>
      <family val="2"/>
    </font>
    <font>
      <sz val="10"/>
      <color indexed="12"/>
      <name val="Arial"/>
      <family val="2"/>
    </font>
    <font>
      <b/>
      <sz val="6"/>
      <color indexed="12"/>
      <name val="Arial"/>
      <family val="2"/>
    </font>
    <font>
      <b/>
      <sz val="20"/>
      <color indexed="24"/>
      <name val="Times New Roman"/>
      <family val="1"/>
    </font>
    <font>
      <sz val="14"/>
      <color indexed="24"/>
      <name val="Times New Roman"/>
      <family val="1"/>
    </font>
    <font>
      <b/>
      <i/>
      <sz val="12"/>
      <color indexed="24"/>
      <name val="Times New Roman"/>
      <family val="1"/>
    </font>
    <font>
      <b/>
      <u/>
      <sz val="20"/>
      <color indexed="12"/>
      <name val="Times New Roman"/>
      <family val="1"/>
    </font>
    <font>
      <b/>
      <sz val="9"/>
      <name val="Arial"/>
      <family val="2"/>
    </font>
    <font>
      <sz val="12"/>
      <color indexed="24"/>
      <name val="Arial"/>
      <family val="2"/>
    </font>
    <font>
      <sz val="6"/>
      <color indexed="8"/>
      <name val="Arial"/>
      <family val="2"/>
    </font>
    <font>
      <b/>
      <sz val="7"/>
      <name val="Arial"/>
      <family val="2"/>
    </font>
    <font>
      <b/>
      <sz val="15"/>
      <name val="Arial"/>
      <family val="2"/>
    </font>
    <font>
      <b/>
      <sz val="6"/>
      <color theme="0"/>
      <name val="Arial"/>
      <family val="2"/>
    </font>
    <font>
      <sz val="6"/>
      <color rgb="FFFF0000"/>
      <name val="Arial"/>
      <family val="2"/>
    </font>
    <font>
      <b/>
      <sz val="6"/>
      <color indexed="8"/>
      <name val="Arial"/>
      <family val="2"/>
    </font>
    <font>
      <sz val="9"/>
      <name val="Arial"/>
      <family val="2"/>
    </font>
    <font>
      <sz val="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double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ck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dashed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/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double">
        <color indexed="64"/>
      </left>
      <right style="thick">
        <color indexed="64"/>
      </right>
      <top style="thin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</borders>
  <cellStyleXfs count="26">
    <xf numFmtId="15" fontId="0" fillId="0" borderId="0"/>
    <xf numFmtId="3" fontId="4" fillId="0" borderId="0" applyFont="0" applyFill="0" applyBorder="0" applyAlignment="0" applyProtection="0"/>
    <xf numFmtId="3" fontId="43" fillId="0" borderId="0" applyFont="0" applyFill="0" applyBorder="0" applyAlignment="0" applyProtection="0"/>
    <xf numFmtId="3" fontId="38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38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3" fillId="0" borderId="0" applyFont="0" applyFill="0" applyBorder="0" applyAlignment="0" applyProtection="0"/>
    <xf numFmtId="2" fontId="38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0" borderId="0"/>
    <xf numFmtId="0" fontId="43" fillId="0" borderId="0"/>
    <xf numFmtId="0" fontId="38" fillId="0" borderId="0"/>
    <xf numFmtId="0" fontId="4" fillId="0" borderId="1" applyNumberFormat="0" applyFont="0" applyFill="0" applyAlignment="0" applyProtection="0"/>
    <xf numFmtId="0" fontId="43" fillId="0" borderId="1" applyNumberFormat="0" applyFont="0" applyFill="0" applyAlignment="0" applyProtection="0"/>
    <xf numFmtId="0" fontId="38" fillId="0" borderId="1" applyNumberFormat="0" applyFont="0" applyFill="0" applyAlignment="0" applyProtection="0"/>
  </cellStyleXfs>
  <cellXfs count="878">
    <xf numFmtId="15" fontId="0" fillId="0" borderId="0" xfId="0"/>
    <xf numFmtId="15" fontId="4" fillId="0" borderId="0" xfId="0" applyFont="1"/>
    <xf numFmtId="2" fontId="4" fillId="0" borderId="0" xfId="0" applyNumberFormat="1" applyFont="1"/>
    <xf numFmtId="15" fontId="4" fillId="0" borderId="2" xfId="0" applyFont="1" applyBorder="1"/>
    <xf numFmtId="15" fontId="4" fillId="0" borderId="3" xfId="0" applyFont="1" applyBorder="1"/>
    <xf numFmtId="15" fontId="4" fillId="0" borderId="4" xfId="0" applyFont="1" applyBorder="1"/>
    <xf numFmtId="15" fontId="4" fillId="0" borderId="5" xfId="0" applyFont="1" applyBorder="1"/>
    <xf numFmtId="15" fontId="4" fillId="0" borderId="6" xfId="0" applyFont="1" applyBorder="1"/>
    <xf numFmtId="15" fontId="4" fillId="0" borderId="7" xfId="0" applyFont="1" applyBorder="1"/>
    <xf numFmtId="15" fontId="4" fillId="0" borderId="8" xfId="0" applyFont="1" applyBorder="1"/>
    <xf numFmtId="0" fontId="4" fillId="0" borderId="0" xfId="0" applyNumberFormat="1" applyFont="1"/>
    <xf numFmtId="15" fontId="3" fillId="0" borderId="7" xfId="0" applyFont="1" applyBorder="1" applyAlignment="1">
      <alignment horizontal="center"/>
    </xf>
    <xf numFmtId="15" fontId="4" fillId="0" borderId="7" xfId="0" applyFont="1" applyBorder="1" applyAlignment="1">
      <alignment horizontal="center"/>
    </xf>
    <xf numFmtId="15" fontId="4" fillId="0" borderId="9" xfId="0" applyFont="1" applyBorder="1" applyAlignment="1">
      <alignment horizontal="center"/>
    </xf>
    <xf numFmtId="15" fontId="4" fillId="0" borderId="0" xfId="0" applyFont="1" applyAlignment="1">
      <alignment horizontal="center"/>
    </xf>
    <xf numFmtId="15" fontId="4" fillId="0" borderId="8" xfId="0" applyFont="1" applyBorder="1" applyAlignment="1">
      <alignment horizontal="center"/>
    </xf>
    <xf numFmtId="15" fontId="4" fillId="0" borderId="9" xfId="0" applyFont="1" applyBorder="1"/>
    <xf numFmtId="166" fontId="4" fillId="0" borderId="9" xfId="0" applyNumberFormat="1" applyFont="1" applyBorder="1" applyAlignment="1">
      <alignment horizontal="center"/>
    </xf>
    <xf numFmtId="15" fontId="4" fillId="0" borderId="3" xfId="0" applyFont="1" applyBorder="1" applyAlignment="1">
      <alignment horizontal="center"/>
    </xf>
    <xf numFmtId="166" fontId="4" fillId="0" borderId="9" xfId="0" applyNumberFormat="1" applyFont="1" applyFill="1" applyBorder="1" applyAlignment="1">
      <alignment horizontal="center"/>
    </xf>
    <xf numFmtId="15" fontId="4" fillId="0" borderId="10" xfId="0" applyFont="1" applyBorder="1"/>
    <xf numFmtId="15" fontId="4" fillId="0" borderId="2" xfId="0" applyFont="1" applyBorder="1" applyAlignment="1">
      <alignment horizontal="center"/>
    </xf>
    <xf numFmtId="15" fontId="4" fillId="0" borderId="11" xfId="0" applyFont="1" applyBorder="1"/>
    <xf numFmtId="166" fontId="4" fillId="0" borderId="10" xfId="0" applyNumberFormat="1" applyFont="1" applyBorder="1"/>
    <xf numFmtId="166" fontId="4" fillId="0" borderId="3" xfId="0" applyNumberFormat="1" applyFont="1" applyBorder="1" applyAlignment="1">
      <alignment horizontal="center"/>
    </xf>
    <xf numFmtId="168" fontId="4" fillId="0" borderId="12" xfId="0" applyNumberFormat="1" applyFont="1" applyBorder="1"/>
    <xf numFmtId="15" fontId="15" fillId="0" borderId="0" xfId="0" applyFont="1"/>
    <xf numFmtId="15" fontId="4" fillId="0" borderId="13" xfId="0" applyFont="1" applyBorder="1"/>
    <xf numFmtId="168" fontId="4" fillId="0" borderId="14" xfId="0" applyNumberFormat="1" applyFont="1" applyBorder="1"/>
    <xf numFmtId="168" fontId="4" fillId="0" borderId="0" xfId="0" applyNumberFormat="1" applyFont="1"/>
    <xf numFmtId="168" fontId="5" fillId="0" borderId="0" xfId="0" applyNumberFormat="1" applyFont="1"/>
    <xf numFmtId="168" fontId="4" fillId="0" borderId="2" xfId="0" applyNumberFormat="1" applyFont="1" applyBorder="1"/>
    <xf numFmtId="168" fontId="6" fillId="0" borderId="0" xfId="0" applyNumberFormat="1" applyFont="1"/>
    <xf numFmtId="168" fontId="7" fillId="0" borderId="0" xfId="0" applyNumberFormat="1" applyFont="1"/>
    <xf numFmtId="168" fontId="4" fillId="0" borderId="8" xfId="0" applyNumberFormat="1" applyFont="1" applyBorder="1"/>
    <xf numFmtId="168" fontId="4" fillId="0" borderId="5" xfId="0" applyNumberFormat="1" applyFont="1" applyBorder="1"/>
    <xf numFmtId="168" fontId="4" fillId="0" borderId="0" xfId="0" applyNumberFormat="1" applyFont="1" applyAlignment="1">
      <alignment horizontal="left"/>
    </xf>
    <xf numFmtId="168" fontId="9" fillId="0" borderId="0" xfId="0" applyNumberFormat="1" applyFont="1"/>
    <xf numFmtId="168" fontId="6" fillId="0" borderId="0" xfId="0" applyNumberFormat="1" applyFont="1" applyAlignment="1">
      <alignment horizontal="left"/>
    </xf>
    <xf numFmtId="168" fontId="4" fillId="0" borderId="15" xfId="0" applyNumberFormat="1" applyFont="1" applyBorder="1"/>
    <xf numFmtId="168" fontId="4" fillId="0" borderId="16" xfId="0" applyNumberFormat="1" applyFont="1" applyBorder="1"/>
    <xf numFmtId="168" fontId="4" fillId="0" borderId="17" xfId="0" applyNumberFormat="1" applyFont="1" applyBorder="1"/>
    <xf numFmtId="168" fontId="8" fillId="0" borderId="0" xfId="0" applyNumberFormat="1" applyFont="1"/>
    <xf numFmtId="168" fontId="4" fillId="0" borderId="5" xfId="0" applyNumberFormat="1" applyFont="1" applyBorder="1" applyAlignment="1">
      <alignment horizontal="right"/>
    </xf>
    <xf numFmtId="168" fontId="4" fillId="0" borderId="18" xfId="0" applyNumberFormat="1" applyFont="1" applyBorder="1"/>
    <xf numFmtId="168" fontId="4" fillId="0" borderId="11" xfId="0" applyNumberFormat="1" applyFont="1" applyBorder="1"/>
    <xf numFmtId="168" fontId="4" fillId="0" borderId="0" xfId="0" applyNumberFormat="1" applyFont="1" applyAlignment="1">
      <alignment horizontal="right"/>
    </xf>
    <xf numFmtId="170" fontId="4" fillId="0" borderId="19" xfId="0" applyNumberFormat="1" applyFont="1" applyBorder="1"/>
    <xf numFmtId="170" fontId="4" fillId="0" borderId="0" xfId="0" applyNumberFormat="1" applyFont="1"/>
    <xf numFmtId="170" fontId="4" fillId="0" borderId="8" xfId="0" applyNumberFormat="1" applyFont="1" applyBorder="1"/>
    <xf numFmtId="170" fontId="4" fillId="0" borderId="20" xfId="0" applyNumberFormat="1" applyFont="1" applyBorder="1"/>
    <xf numFmtId="170" fontId="4" fillId="0" borderId="14" xfId="0" applyNumberFormat="1" applyFont="1" applyBorder="1"/>
    <xf numFmtId="170" fontId="4" fillId="0" borderId="21" xfId="0" applyNumberFormat="1" applyFont="1" applyBorder="1"/>
    <xf numFmtId="170" fontId="4" fillId="0" borderId="1" xfId="0" applyNumberFormat="1" applyFont="1" applyBorder="1"/>
    <xf numFmtId="170" fontId="4" fillId="0" borderId="22" xfId="0" applyNumberFormat="1" applyFont="1" applyBorder="1"/>
    <xf numFmtId="170" fontId="4" fillId="0" borderId="6" xfId="0" applyNumberFormat="1" applyFont="1" applyBorder="1"/>
    <xf numFmtId="170" fontId="4" fillId="0" borderId="11" xfId="0" applyNumberFormat="1" applyFont="1" applyBorder="1"/>
    <xf numFmtId="170" fontId="4" fillId="0" borderId="23" xfId="0" applyNumberFormat="1" applyFont="1" applyBorder="1"/>
    <xf numFmtId="15" fontId="0" fillId="0" borderId="0" xfId="0" applyNumberFormat="1"/>
    <xf numFmtId="166" fontId="4" fillId="0" borderId="24" xfId="0" applyNumberFormat="1" applyFont="1" applyBorder="1" applyAlignment="1">
      <alignment horizontal="center"/>
    </xf>
    <xf numFmtId="166" fontId="4" fillId="0" borderId="5" xfId="0" applyNumberFormat="1" applyFont="1" applyBorder="1" applyAlignment="1">
      <alignment horizontal="center"/>
    </xf>
    <xf numFmtId="166" fontId="4" fillId="0" borderId="25" xfId="0" applyNumberFormat="1" applyFont="1" applyBorder="1" applyAlignment="1">
      <alignment horizontal="center"/>
    </xf>
    <xf numFmtId="170" fontId="4" fillId="0" borderId="5" xfId="0" applyNumberFormat="1" applyFont="1" applyBorder="1"/>
    <xf numFmtId="170" fontId="4" fillId="0" borderId="26" xfId="0" applyNumberFormat="1" applyFont="1" applyBorder="1"/>
    <xf numFmtId="15" fontId="0" fillId="0" borderId="0" xfId="0" applyNumberFormat="1" applyAlignment="1">
      <alignment horizontal="center"/>
    </xf>
    <xf numFmtId="15" fontId="4" fillId="0" borderId="4" xfId="0" applyFont="1" applyBorder="1" applyAlignment="1">
      <alignment horizontal="center"/>
    </xf>
    <xf numFmtId="15" fontId="4" fillId="0" borderId="27" xfId="0" applyFont="1" applyBorder="1"/>
    <xf numFmtId="15" fontId="4" fillId="0" borderId="18" xfId="0" applyFont="1" applyBorder="1"/>
    <xf numFmtId="15" fontId="3" fillId="0" borderId="28" xfId="0" applyFont="1" applyBorder="1" applyAlignment="1">
      <alignment horizontal="center"/>
    </xf>
    <xf numFmtId="170" fontId="4" fillId="0" borderId="0" xfId="0" applyNumberFormat="1" applyFont="1" applyBorder="1"/>
    <xf numFmtId="15" fontId="4" fillId="0" borderId="0" xfId="0" applyFont="1" applyBorder="1"/>
    <xf numFmtId="170" fontId="4" fillId="0" borderId="24" xfId="0" applyNumberFormat="1" applyFont="1" applyBorder="1"/>
    <xf numFmtId="170" fontId="4" fillId="0" borderId="29" xfId="0" applyNumberFormat="1" applyFont="1" applyBorder="1"/>
    <xf numFmtId="170" fontId="4" fillId="0" borderId="30" xfId="0" applyNumberFormat="1" applyFont="1" applyBorder="1"/>
    <xf numFmtId="170" fontId="4" fillId="0" borderId="10" xfId="0" applyNumberFormat="1" applyFont="1" applyBorder="1"/>
    <xf numFmtId="8" fontId="4" fillId="0" borderId="2" xfId="0" applyNumberFormat="1" applyFont="1" applyBorder="1"/>
    <xf numFmtId="8" fontId="4" fillId="0" borderId="0" xfId="0" applyNumberFormat="1" applyFont="1"/>
    <xf numFmtId="15" fontId="4" fillId="0" borderId="31" xfId="0" applyFont="1" applyBorder="1"/>
    <xf numFmtId="15" fontId="4" fillId="0" borderId="32" xfId="0" applyFont="1" applyBorder="1"/>
    <xf numFmtId="170" fontId="4" fillId="0" borderId="33" xfId="0" applyNumberFormat="1" applyFont="1" applyBorder="1"/>
    <xf numFmtId="170" fontId="4" fillId="0" borderId="34" xfId="0" applyNumberFormat="1" applyFont="1" applyBorder="1"/>
    <xf numFmtId="170" fontId="4" fillId="0" borderId="35" xfId="0" applyNumberFormat="1" applyFont="1" applyBorder="1"/>
    <xf numFmtId="170" fontId="4" fillId="0" borderId="36" xfId="0" applyNumberFormat="1" applyFont="1" applyBorder="1"/>
    <xf numFmtId="15" fontId="4" fillId="0" borderId="9" xfId="0" applyFont="1" applyFill="1" applyBorder="1" applyAlignment="1">
      <alignment horizontal="center"/>
    </xf>
    <xf numFmtId="170" fontId="4" fillId="0" borderId="37" xfId="0" applyNumberFormat="1" applyFont="1" applyBorder="1"/>
    <xf numFmtId="170" fontId="4" fillId="0" borderId="38" xfId="0" applyNumberFormat="1" applyFont="1" applyBorder="1"/>
    <xf numFmtId="167" fontId="4" fillId="0" borderId="10" xfId="0" applyNumberFormat="1" applyFont="1" applyBorder="1" applyAlignment="1">
      <alignment horizontal="center"/>
    </xf>
    <xf numFmtId="15" fontId="4" fillId="0" borderId="7" xfId="0" applyFont="1" applyBorder="1" applyAlignment="1">
      <alignment horizontal="left"/>
    </xf>
    <xf numFmtId="167" fontId="4" fillId="0" borderId="24" xfId="0" applyNumberFormat="1" applyFont="1" applyBorder="1" applyAlignment="1">
      <alignment horizontal="center"/>
    </xf>
    <xf numFmtId="167" fontId="4" fillId="0" borderId="0" xfId="0" applyNumberFormat="1" applyFont="1" applyBorder="1" applyAlignment="1">
      <alignment horizontal="center"/>
    </xf>
    <xf numFmtId="15" fontId="4" fillId="0" borderId="0" xfId="0" applyFont="1" applyBorder="1" applyAlignment="1">
      <alignment horizontal="center"/>
    </xf>
    <xf numFmtId="170" fontId="4" fillId="0" borderId="39" xfId="0" applyNumberFormat="1" applyFont="1" applyBorder="1"/>
    <xf numFmtId="170" fontId="7" fillId="0" borderId="40" xfId="0" applyNumberFormat="1" applyFont="1" applyBorder="1"/>
    <xf numFmtId="170" fontId="7" fillId="0" borderId="41" xfId="0" applyNumberFormat="1" applyFont="1" applyBorder="1"/>
    <xf numFmtId="170" fontId="3" fillId="0" borderId="6" xfId="0" applyNumberFormat="1" applyFont="1" applyBorder="1" applyAlignment="1">
      <alignment horizontal="center"/>
    </xf>
    <xf numFmtId="170" fontId="4" fillId="0" borderId="42" xfId="0" applyNumberFormat="1" applyFont="1" applyBorder="1"/>
    <xf numFmtId="1" fontId="4" fillId="0" borderId="43" xfId="0" applyNumberFormat="1" applyFont="1" applyBorder="1" applyAlignment="1">
      <alignment horizontal="right"/>
    </xf>
    <xf numFmtId="1" fontId="4" fillId="0" borderId="0" xfId="0" applyNumberFormat="1" applyFont="1"/>
    <xf numFmtId="1" fontId="4" fillId="0" borderId="31" xfId="0" applyNumberFormat="1" applyFont="1" applyBorder="1"/>
    <xf numFmtId="1" fontId="4" fillId="0" borderId="44" xfId="0" applyNumberFormat="1" applyFont="1" applyBorder="1"/>
    <xf numFmtId="170" fontId="4" fillId="0" borderId="45" xfId="0" applyNumberFormat="1" applyFont="1" applyBorder="1"/>
    <xf numFmtId="170" fontId="4" fillId="0" borderId="46" xfId="0" applyNumberFormat="1" applyFont="1" applyBorder="1"/>
    <xf numFmtId="170" fontId="4" fillId="0" borderId="47" xfId="0" applyNumberFormat="1" applyFont="1" applyBorder="1"/>
    <xf numFmtId="170" fontId="4" fillId="0" borderId="48" xfId="0" applyNumberFormat="1" applyFont="1" applyBorder="1"/>
    <xf numFmtId="1" fontId="4" fillId="0" borderId="6" xfId="0" applyNumberFormat="1" applyFont="1" applyBorder="1"/>
    <xf numFmtId="1" fontId="4" fillId="0" borderId="10" xfId="0" applyNumberFormat="1" applyFont="1" applyBorder="1"/>
    <xf numFmtId="1" fontId="4" fillId="0" borderId="10" xfId="0" applyNumberFormat="1" applyFont="1" applyBorder="1" applyAlignment="1">
      <alignment horizontal="center"/>
    </xf>
    <xf numFmtId="1" fontId="4" fillId="0" borderId="11" xfId="0" applyNumberFormat="1" applyFont="1" applyBorder="1"/>
    <xf numFmtId="1" fontId="4" fillId="0" borderId="49" xfId="0" applyNumberFormat="1" applyFont="1" applyBorder="1"/>
    <xf numFmtId="1" fontId="4" fillId="0" borderId="0" xfId="0" applyNumberFormat="1" applyFont="1" applyBorder="1"/>
    <xf numFmtId="1" fontId="4" fillId="0" borderId="31" xfId="0" applyNumberFormat="1" applyFont="1" applyBorder="1" applyAlignment="1">
      <alignment horizontal="center"/>
    </xf>
    <xf numFmtId="1" fontId="4" fillId="0" borderId="32" xfId="0" applyNumberFormat="1" applyFont="1" applyBorder="1"/>
    <xf numFmtId="170" fontId="4" fillId="0" borderId="50" xfId="0" applyNumberFormat="1" applyFont="1" applyBorder="1"/>
    <xf numFmtId="170" fontId="4" fillId="0" borderId="51" xfId="0" applyNumberFormat="1" applyFont="1" applyBorder="1"/>
    <xf numFmtId="170" fontId="4" fillId="0" borderId="52" xfId="0" applyNumberFormat="1" applyFont="1" applyBorder="1"/>
    <xf numFmtId="170" fontId="3" fillId="0" borderId="6" xfId="0" applyNumberFormat="1" applyFont="1" applyBorder="1"/>
    <xf numFmtId="8" fontId="4" fillId="0" borderId="0" xfId="0" applyNumberFormat="1" applyFont="1" applyBorder="1"/>
    <xf numFmtId="8" fontId="4" fillId="0" borderId="24" xfId="0" applyNumberFormat="1" applyFont="1" applyBorder="1"/>
    <xf numFmtId="8" fontId="4" fillId="0" borderId="10" xfId="0" applyNumberFormat="1" applyFont="1" applyBorder="1"/>
    <xf numFmtId="8" fontId="4" fillId="0" borderId="8" xfId="0" applyNumberFormat="1" applyFont="1" applyBorder="1"/>
    <xf numFmtId="168" fontId="4" fillId="0" borderId="0" xfId="0" applyNumberFormat="1" applyFont="1" applyBorder="1"/>
    <xf numFmtId="170" fontId="4" fillId="0" borderId="53" xfId="0" applyNumberFormat="1" applyFont="1" applyBorder="1"/>
    <xf numFmtId="15" fontId="4" fillId="0" borderId="0" xfId="0" applyFont="1" applyAlignment="1">
      <alignment wrapText="1"/>
    </xf>
    <xf numFmtId="15" fontId="0" fillId="0" borderId="0" xfId="0" applyAlignment="1">
      <alignment wrapText="1"/>
    </xf>
    <xf numFmtId="15" fontId="3" fillId="0" borderId="7" xfId="0" applyFont="1" applyBorder="1" applyAlignment="1">
      <alignment horizontal="center" wrapText="1"/>
    </xf>
    <xf numFmtId="170" fontId="4" fillId="0" borderId="54" xfId="0" applyNumberFormat="1" applyFont="1" applyBorder="1"/>
    <xf numFmtId="15" fontId="0" fillId="0" borderId="0" xfId="0" applyBorder="1"/>
    <xf numFmtId="170" fontId="3" fillId="0" borderId="55" xfId="0" applyNumberFormat="1" applyFont="1" applyBorder="1" applyAlignment="1">
      <alignment horizontal="left" wrapText="1"/>
    </xf>
    <xf numFmtId="15" fontId="4" fillId="0" borderId="2" xfId="0" applyFont="1" applyBorder="1" applyAlignment="1">
      <alignment horizontal="left" wrapText="1"/>
    </xf>
    <xf numFmtId="170" fontId="4" fillId="0" borderId="55" xfId="0" applyNumberFormat="1" applyFont="1" applyBorder="1" applyAlignment="1">
      <alignment horizontal="left" wrapText="1"/>
    </xf>
    <xf numFmtId="15" fontId="0" fillId="0" borderId="0" xfId="0" applyAlignment="1">
      <alignment horizontal="left"/>
    </xf>
    <xf numFmtId="15" fontId="16" fillId="0" borderId="0" xfId="0" applyFont="1"/>
    <xf numFmtId="170" fontId="4" fillId="0" borderId="56" xfId="0" applyNumberFormat="1" applyFont="1" applyBorder="1"/>
    <xf numFmtId="15" fontId="16" fillId="0" borderId="0" xfId="0" applyFont="1" applyBorder="1"/>
    <xf numFmtId="170" fontId="3" fillId="0" borderId="57" xfId="0" applyNumberFormat="1" applyFont="1" applyBorder="1" applyAlignment="1">
      <alignment horizontal="left" wrapText="1"/>
    </xf>
    <xf numFmtId="15" fontId="4" fillId="0" borderId="52" xfId="0" applyFont="1" applyBorder="1"/>
    <xf numFmtId="15" fontId="4" fillId="0" borderId="58" xfId="0" applyFont="1" applyBorder="1" applyAlignment="1">
      <alignment horizontal="center"/>
    </xf>
    <xf numFmtId="15" fontId="4" fillId="0" borderId="59" xfId="0" applyFont="1" applyBorder="1" applyAlignment="1">
      <alignment horizontal="center"/>
    </xf>
    <xf numFmtId="15" fontId="4" fillId="0" borderId="60" xfId="0" applyFont="1" applyBorder="1" applyAlignment="1">
      <alignment horizontal="center"/>
    </xf>
    <xf numFmtId="15" fontId="4" fillId="0" borderId="61" xfId="0" applyFont="1" applyBorder="1" applyAlignment="1">
      <alignment horizontal="center"/>
    </xf>
    <xf numFmtId="166" fontId="4" fillId="0" borderId="62" xfId="0" applyNumberFormat="1" applyFont="1" applyBorder="1" applyAlignment="1">
      <alignment horizontal="center"/>
    </xf>
    <xf numFmtId="166" fontId="4" fillId="0" borderId="63" xfId="0" applyNumberFormat="1" applyFont="1" applyBorder="1" applyAlignment="1">
      <alignment horizontal="center"/>
    </xf>
    <xf numFmtId="8" fontId="4" fillId="0" borderId="64" xfId="0" applyNumberFormat="1" applyFont="1" applyBorder="1"/>
    <xf numFmtId="8" fontId="4" fillId="0" borderId="22" xfId="0" applyNumberFormat="1" applyFont="1" applyBorder="1"/>
    <xf numFmtId="8" fontId="4" fillId="0" borderId="11" xfId="0" applyNumberFormat="1" applyFont="1" applyBorder="1"/>
    <xf numFmtId="8" fontId="3" fillId="0" borderId="65" xfId="0" applyNumberFormat="1" applyFont="1" applyBorder="1" applyAlignment="1">
      <alignment horizontal="left"/>
    </xf>
    <xf numFmtId="8" fontId="4" fillId="0" borderId="12" xfId="0" applyNumberFormat="1" applyFont="1" applyBorder="1"/>
    <xf numFmtId="8" fontId="4" fillId="0" borderId="66" xfId="0" applyNumberFormat="1" applyFont="1" applyBorder="1"/>
    <xf numFmtId="8" fontId="4" fillId="0" borderId="67" xfId="0" applyNumberFormat="1" applyFont="1" applyBorder="1"/>
    <xf numFmtId="15" fontId="4" fillId="0" borderId="63" xfId="0" applyFont="1" applyBorder="1" applyAlignment="1">
      <alignment horizontal="center"/>
    </xf>
    <xf numFmtId="15" fontId="4" fillId="0" borderId="68" xfId="0" applyFont="1" applyBorder="1" applyAlignment="1">
      <alignment horizontal="center"/>
    </xf>
    <xf numFmtId="1" fontId="4" fillId="0" borderId="2" xfId="0" applyNumberFormat="1" applyFont="1" applyBorder="1"/>
    <xf numFmtId="8" fontId="4" fillId="0" borderId="14" xfId="0" applyNumberFormat="1" applyFont="1" applyBorder="1"/>
    <xf numFmtId="15" fontId="17" fillId="0" borderId="0" xfId="0" applyFont="1"/>
    <xf numFmtId="8" fontId="4" fillId="0" borderId="5" xfId="0" applyNumberFormat="1" applyFont="1" applyBorder="1"/>
    <xf numFmtId="8" fontId="4" fillId="0" borderId="6" xfId="0" applyNumberFormat="1" applyFont="1" applyBorder="1"/>
    <xf numFmtId="8" fontId="4" fillId="0" borderId="50" xfId="0" applyNumberFormat="1" applyFont="1" applyBorder="1"/>
    <xf numFmtId="8" fontId="4" fillId="0" borderId="23" xfId="0" applyNumberFormat="1" applyFont="1" applyBorder="1"/>
    <xf numFmtId="168" fontId="4" fillId="0" borderId="69" xfId="0" applyNumberFormat="1" applyFont="1" applyBorder="1" applyAlignment="1">
      <alignment horizontal="center" vertical="center" wrapText="1"/>
    </xf>
    <xf numFmtId="168" fontId="4" fillId="0" borderId="70" xfId="0" applyNumberFormat="1" applyFont="1" applyBorder="1" applyAlignment="1">
      <alignment horizontal="center" vertical="center" wrapText="1"/>
    </xf>
    <xf numFmtId="166" fontId="4" fillId="0" borderId="4" xfId="0" applyNumberFormat="1" applyFont="1" applyBorder="1" applyAlignment="1">
      <alignment horizontal="center"/>
    </xf>
    <xf numFmtId="15" fontId="4" fillId="0" borderId="25" xfId="0" applyFont="1" applyBorder="1"/>
    <xf numFmtId="166" fontId="4" fillId="0" borderId="71" xfId="0" applyNumberFormat="1" applyFont="1" applyBorder="1"/>
    <xf numFmtId="166" fontId="4" fillId="0" borderId="72" xfId="0" applyNumberFormat="1" applyFont="1" applyBorder="1"/>
    <xf numFmtId="166" fontId="4" fillId="0" borderId="0" xfId="0" applyNumberFormat="1" applyFont="1" applyBorder="1" applyAlignment="1">
      <alignment horizontal="center"/>
    </xf>
    <xf numFmtId="165" fontId="4" fillId="0" borderId="0" xfId="0" applyNumberFormat="1" applyFont="1" applyBorder="1"/>
    <xf numFmtId="8" fontId="4" fillId="0" borderId="21" xfId="0" applyNumberFormat="1" applyFont="1" applyBorder="1"/>
    <xf numFmtId="8" fontId="4" fillId="0" borderId="73" xfId="0" applyNumberFormat="1" applyFont="1" applyBorder="1"/>
    <xf numFmtId="8" fontId="7" fillId="0" borderId="40" xfId="0" applyNumberFormat="1" applyFont="1" applyBorder="1"/>
    <xf numFmtId="8" fontId="18" fillId="0" borderId="14" xfId="0" applyNumberFormat="1" applyFont="1" applyBorder="1"/>
    <xf numFmtId="8" fontId="18" fillId="0" borderId="74" xfId="0" applyNumberFormat="1" applyFont="1" applyBorder="1"/>
    <xf numFmtId="8" fontId="18" fillId="0" borderId="0" xfId="0" applyNumberFormat="1" applyFont="1"/>
    <xf numFmtId="8" fontId="7" fillId="0" borderId="41" xfId="0" applyNumberFormat="1" applyFont="1" applyBorder="1"/>
    <xf numFmtId="8" fontId="18" fillId="0" borderId="12" xfId="0" applyNumberFormat="1" applyFont="1" applyBorder="1"/>
    <xf numFmtId="8" fontId="18" fillId="0" borderId="75" xfId="0" applyNumberFormat="1" applyFont="1" applyBorder="1"/>
    <xf numFmtId="8" fontId="3" fillId="0" borderId="76" xfId="0" applyNumberFormat="1" applyFont="1" applyBorder="1" applyAlignment="1">
      <alignment horizontal="left"/>
    </xf>
    <xf numFmtId="8" fontId="4" fillId="0" borderId="36" xfId="0" applyNumberFormat="1" applyFont="1" applyBorder="1"/>
    <xf numFmtId="8" fontId="4" fillId="0" borderId="53" xfId="0" applyNumberFormat="1" applyFont="1" applyBorder="1"/>
    <xf numFmtId="15" fontId="4" fillId="0" borderId="52" xfId="0" applyNumberFormat="1" applyFont="1" applyBorder="1" applyAlignment="1">
      <alignment horizontal="center"/>
    </xf>
    <xf numFmtId="15" fontId="4" fillId="0" borderId="51" xfId="0" applyNumberFormat="1" applyFont="1" applyBorder="1" applyAlignment="1">
      <alignment horizontal="center"/>
    </xf>
    <xf numFmtId="15" fontId="4" fillId="0" borderId="77" xfId="0" applyNumberFormat="1" applyFont="1" applyBorder="1" applyAlignment="1">
      <alignment horizontal="center"/>
    </xf>
    <xf numFmtId="15" fontId="4" fillId="0" borderId="78" xfId="0" applyNumberFormat="1" applyFont="1" applyBorder="1" applyAlignment="1">
      <alignment horizontal="center"/>
    </xf>
    <xf numFmtId="15" fontId="4" fillId="0" borderId="8" xfId="0" applyNumberFormat="1" applyFont="1" applyBorder="1" applyAlignment="1">
      <alignment horizontal="center"/>
    </xf>
    <xf numFmtId="15" fontId="4" fillId="0" borderId="44" xfId="0" applyNumberFormat="1" applyFont="1" applyBorder="1" applyAlignment="1">
      <alignment horizontal="center"/>
    </xf>
    <xf numFmtId="15" fontId="4" fillId="0" borderId="79" xfId="0" applyFont="1" applyBorder="1" applyAlignment="1"/>
    <xf numFmtId="15" fontId="4" fillId="0" borderId="80" xfId="0" applyFont="1" applyBorder="1" applyAlignment="1"/>
    <xf numFmtId="8" fontId="4" fillId="0" borderId="81" xfId="0" applyNumberFormat="1" applyFont="1" applyBorder="1"/>
    <xf numFmtId="168" fontId="4" fillId="0" borderId="82" xfId="0" applyNumberFormat="1" applyFont="1" applyBorder="1" applyAlignment="1">
      <alignment vertical="center" textRotation="180"/>
    </xf>
    <xf numFmtId="8" fontId="4" fillId="0" borderId="83" xfId="0" applyNumberFormat="1" applyFont="1" applyBorder="1"/>
    <xf numFmtId="8" fontId="18" fillId="0" borderId="84" xfId="0" applyNumberFormat="1" applyFont="1" applyBorder="1"/>
    <xf numFmtId="8" fontId="4" fillId="0" borderId="65" xfId="0" applyNumberFormat="1" applyFont="1" applyBorder="1"/>
    <xf numFmtId="8" fontId="4" fillId="0" borderId="85" xfId="0" applyNumberFormat="1" applyFont="1" applyBorder="1"/>
    <xf numFmtId="8" fontId="4" fillId="0" borderId="46" xfId="0" applyNumberFormat="1" applyFont="1" applyBorder="1"/>
    <xf numFmtId="4" fontId="4" fillId="0" borderId="40" xfId="0" applyNumberFormat="1" applyFont="1" applyBorder="1"/>
    <xf numFmtId="4" fontId="4" fillId="0" borderId="86" xfId="0" applyNumberFormat="1" applyFont="1" applyBorder="1"/>
    <xf numFmtId="4" fontId="4" fillId="0" borderId="0" xfId="0" applyNumberFormat="1" applyFont="1"/>
    <xf numFmtId="40" fontId="4" fillId="0" borderId="28" xfId="0" applyNumberFormat="1" applyFont="1" applyBorder="1"/>
    <xf numFmtId="15" fontId="4" fillId="0" borderId="28" xfId="0" applyFont="1" applyBorder="1" applyAlignment="1">
      <alignment horizontal="left"/>
    </xf>
    <xf numFmtId="15" fontId="4" fillId="0" borderId="87" xfId="0" applyFont="1" applyBorder="1"/>
    <xf numFmtId="40" fontId="4" fillId="0" borderId="0" xfId="0" applyNumberFormat="1" applyFont="1" applyBorder="1"/>
    <xf numFmtId="40" fontId="4" fillId="0" borderId="0" xfId="0" applyNumberFormat="1" applyFont="1"/>
    <xf numFmtId="40" fontId="4" fillId="0" borderId="40" xfId="0" applyNumberFormat="1" applyFont="1" applyBorder="1"/>
    <xf numFmtId="40" fontId="4" fillId="0" borderId="88" xfId="0" applyNumberFormat="1" applyFont="1" applyBorder="1"/>
    <xf numFmtId="40" fontId="4" fillId="0" borderId="19" xfId="0" applyNumberFormat="1" applyFont="1" applyBorder="1"/>
    <xf numFmtId="40" fontId="4" fillId="0" borderId="86" xfId="0" applyNumberFormat="1" applyFont="1" applyBorder="1"/>
    <xf numFmtId="1" fontId="4" fillId="0" borderId="43" xfId="0" applyNumberFormat="1" applyFont="1" applyBorder="1" applyAlignment="1">
      <alignment horizontal="center"/>
    </xf>
    <xf numFmtId="1" fontId="4" fillId="0" borderId="89" xfId="0" applyNumberFormat="1" applyFont="1" applyBorder="1" applyAlignment="1">
      <alignment horizontal="center"/>
    </xf>
    <xf numFmtId="1" fontId="4" fillId="0" borderId="90" xfId="0" applyNumberFormat="1" applyFont="1" applyBorder="1" applyAlignment="1">
      <alignment horizontal="center"/>
    </xf>
    <xf numFmtId="1" fontId="4" fillId="0" borderId="91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28" xfId="0" applyNumberFormat="1" applyFont="1" applyBorder="1" applyAlignment="1">
      <alignment horizontal="center"/>
    </xf>
    <xf numFmtId="1" fontId="4" fillId="0" borderId="92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center"/>
    </xf>
    <xf numFmtId="8" fontId="4" fillId="0" borderId="28" xfId="0" applyNumberFormat="1" applyFont="1" applyBorder="1" applyAlignment="1">
      <alignment horizontal="center"/>
    </xf>
    <xf numFmtId="8" fontId="4" fillId="0" borderId="0" xfId="0" applyNumberFormat="1" applyFont="1" applyBorder="1" applyAlignment="1">
      <alignment horizontal="center"/>
    </xf>
    <xf numFmtId="1" fontId="4" fillId="0" borderId="44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left"/>
    </xf>
    <xf numFmtId="1" fontId="4" fillId="0" borderId="18" xfId="0" applyNumberFormat="1" applyFont="1" applyBorder="1" applyAlignment="1">
      <alignment horizontal="center"/>
    </xf>
    <xf numFmtId="1" fontId="4" fillId="0" borderId="49" xfId="0" applyNumberFormat="1" applyFont="1" applyBorder="1" applyAlignment="1">
      <alignment horizontal="left"/>
    </xf>
    <xf numFmtId="15" fontId="22" fillId="0" borderId="0" xfId="0" applyFont="1"/>
    <xf numFmtId="15" fontId="25" fillId="0" borderId="0" xfId="0" applyFont="1"/>
    <xf numFmtId="15" fontId="23" fillId="0" borderId="0" xfId="0" applyFont="1"/>
    <xf numFmtId="15" fontId="16" fillId="0" borderId="0" xfId="0" applyFont="1" applyAlignment="1">
      <alignment wrapText="1"/>
    </xf>
    <xf numFmtId="15" fontId="27" fillId="0" borderId="0" xfId="0" applyFont="1" applyAlignment="1">
      <alignment horizontal="left"/>
    </xf>
    <xf numFmtId="15" fontId="27" fillId="0" borderId="0" xfId="0" applyFont="1"/>
    <xf numFmtId="170" fontId="4" fillId="0" borderId="0" xfId="0" applyNumberFormat="1" applyFont="1" applyBorder="1" applyAlignment="1">
      <alignment horizontal="center"/>
    </xf>
    <xf numFmtId="170" fontId="4" fillId="0" borderId="0" xfId="0" applyNumberFormat="1" applyFont="1" applyAlignment="1">
      <alignment horizontal="center"/>
    </xf>
    <xf numFmtId="15" fontId="4" fillId="0" borderId="0" xfId="0" quotePrefix="1" applyFont="1"/>
    <xf numFmtId="15" fontId="4" fillId="0" borderId="6" xfId="0" applyNumberFormat="1" applyFont="1" applyBorder="1" applyAlignment="1">
      <alignment horizontal="left" wrapText="1"/>
    </xf>
    <xf numFmtId="15" fontId="4" fillId="0" borderId="11" xfId="0" applyNumberFormat="1" applyFont="1" applyBorder="1" applyAlignment="1">
      <alignment horizontal="center"/>
    </xf>
    <xf numFmtId="15" fontId="4" fillId="0" borderId="10" xfId="0" applyNumberFormat="1" applyFont="1" applyBorder="1" applyAlignment="1">
      <alignment horizontal="center"/>
    </xf>
    <xf numFmtId="15" fontId="4" fillId="0" borderId="5" xfId="0" applyNumberFormat="1" applyFont="1" applyBorder="1" applyAlignment="1">
      <alignment horizontal="center"/>
    </xf>
    <xf numFmtId="170" fontId="4" fillId="0" borderId="75" xfId="0" applyNumberFormat="1" applyFont="1" applyBorder="1"/>
    <xf numFmtId="1" fontId="4" fillId="0" borderId="8" xfId="0" applyNumberFormat="1" applyFont="1" applyBorder="1" applyAlignment="1">
      <alignment horizontal="center"/>
    </xf>
    <xf numFmtId="15" fontId="4" fillId="0" borderId="0" xfId="0" quotePrefix="1" applyFont="1" applyBorder="1"/>
    <xf numFmtId="166" fontId="4" fillId="0" borderId="8" xfId="0" applyNumberFormat="1" applyFont="1" applyBorder="1" applyAlignment="1">
      <alignment horizontal="center"/>
    </xf>
    <xf numFmtId="167" fontId="4" fillId="0" borderId="8" xfId="0" applyNumberFormat="1" applyFont="1" applyBorder="1" applyAlignment="1">
      <alignment horizontal="center"/>
    </xf>
    <xf numFmtId="15" fontId="4" fillId="0" borderId="8" xfId="0" applyFont="1" applyBorder="1" applyAlignment="1">
      <alignment horizontal="right"/>
    </xf>
    <xf numFmtId="168" fontId="16" fillId="0" borderId="0" xfId="0" applyNumberFormat="1" applyFont="1"/>
    <xf numFmtId="1" fontId="4" fillId="0" borderId="2" xfId="0" applyNumberFormat="1" applyFont="1" applyBorder="1" applyAlignment="1">
      <alignment horizontal="center"/>
    </xf>
    <xf numFmtId="15" fontId="0" fillId="0" borderId="0" xfId="0" applyAlignment="1">
      <alignment horizontal="center"/>
    </xf>
    <xf numFmtId="15" fontId="3" fillId="0" borderId="7" xfId="0" applyFont="1" applyBorder="1" applyAlignment="1">
      <alignment horizontal="left" wrapText="1"/>
    </xf>
    <xf numFmtId="170" fontId="4" fillId="0" borderId="12" xfId="0" applyNumberFormat="1" applyFont="1" applyBorder="1"/>
    <xf numFmtId="167" fontId="4" fillId="0" borderId="11" xfId="0" applyNumberFormat="1" applyFont="1" applyBorder="1" applyAlignment="1">
      <alignment horizontal="center"/>
    </xf>
    <xf numFmtId="15" fontId="4" fillId="0" borderId="0" xfId="0" applyNumberFormat="1" applyFont="1" applyBorder="1" applyAlignment="1">
      <alignment horizontal="center"/>
    </xf>
    <xf numFmtId="15" fontId="23" fillId="0" borderId="0" xfId="0" applyFont="1" applyAlignment="1">
      <alignment horizontal="right"/>
    </xf>
    <xf numFmtId="1" fontId="8" fillId="0" borderId="0" xfId="0" quotePrefix="1" applyNumberFormat="1" applyFont="1"/>
    <xf numFmtId="3" fontId="8" fillId="0" borderId="0" xfId="0" applyNumberFormat="1" applyFont="1"/>
    <xf numFmtId="9" fontId="8" fillId="0" borderId="0" xfId="0" applyNumberFormat="1" applyFont="1"/>
    <xf numFmtId="170" fontId="4" fillId="0" borderId="78" xfId="0" applyNumberFormat="1" applyFont="1" applyBorder="1"/>
    <xf numFmtId="8" fontId="4" fillId="0" borderId="45" xfId="0" applyNumberFormat="1" applyFont="1" applyBorder="1"/>
    <xf numFmtId="1" fontId="16" fillId="0" borderId="90" xfId="0" applyNumberFormat="1" applyFont="1" applyBorder="1" applyAlignment="1">
      <alignment horizontal="center"/>
    </xf>
    <xf numFmtId="168" fontId="4" fillId="0" borderId="46" xfId="0" applyNumberFormat="1" applyFont="1" applyBorder="1"/>
    <xf numFmtId="168" fontId="4" fillId="0" borderId="36" xfId="0" applyNumberFormat="1" applyFont="1" applyBorder="1"/>
    <xf numFmtId="1" fontId="16" fillId="0" borderId="92" xfId="0" applyNumberFormat="1" applyFont="1" applyBorder="1" applyAlignment="1">
      <alignment horizontal="center"/>
    </xf>
    <xf numFmtId="170" fontId="29" fillId="0" borderId="11" xfId="0" applyNumberFormat="1" applyFont="1" applyBorder="1"/>
    <xf numFmtId="170" fontId="29" fillId="0" borderId="5" xfId="0" applyNumberFormat="1" applyFont="1" applyBorder="1"/>
    <xf numFmtId="170" fontId="29" fillId="0" borderId="8" xfId="0" applyNumberFormat="1" applyFont="1" applyBorder="1"/>
    <xf numFmtId="15" fontId="29" fillId="0" borderId="0" xfId="0" applyFont="1"/>
    <xf numFmtId="8" fontId="4" fillId="0" borderId="26" xfId="0" applyNumberFormat="1" applyFont="1" applyBorder="1"/>
    <xf numFmtId="168" fontId="18" fillId="0" borderId="0" xfId="0" applyNumberFormat="1" applyFont="1"/>
    <xf numFmtId="168" fontId="4" fillId="0" borderId="0" xfId="0" quotePrefix="1" applyNumberFormat="1" applyFont="1"/>
    <xf numFmtId="15" fontId="4" fillId="0" borderId="50" xfId="0" applyNumberFormat="1" applyFont="1" applyBorder="1" applyAlignment="1">
      <alignment horizontal="left" wrapText="1"/>
    </xf>
    <xf numFmtId="15" fontId="4" fillId="0" borderId="57" xfId="0" applyFont="1" applyBorder="1"/>
    <xf numFmtId="8" fontId="4" fillId="0" borderId="19" xfId="0" applyNumberFormat="1" applyFont="1" applyBorder="1"/>
    <xf numFmtId="8" fontId="4" fillId="0" borderId="37" xfId="0" applyNumberFormat="1" applyFont="1" applyBorder="1"/>
    <xf numFmtId="8" fontId="16" fillId="2" borderId="0" xfId="0" applyNumberFormat="1" applyFont="1" applyFill="1" applyBorder="1"/>
    <xf numFmtId="8" fontId="4" fillId="2" borderId="0" xfId="0" applyNumberFormat="1" applyFont="1" applyFill="1"/>
    <xf numFmtId="8" fontId="4" fillId="2" borderId="0" xfId="0" applyNumberFormat="1" applyFont="1" applyFill="1" applyBorder="1"/>
    <xf numFmtId="168" fontId="4" fillId="2" borderId="0" xfId="0" applyNumberFormat="1" applyFont="1" applyFill="1" applyBorder="1"/>
    <xf numFmtId="168" fontId="4" fillId="2" borderId="0" xfId="0" applyNumberFormat="1" applyFont="1" applyFill="1"/>
    <xf numFmtId="8" fontId="16" fillId="2" borderId="0" xfId="0" applyNumberFormat="1" applyFont="1" applyFill="1"/>
    <xf numFmtId="170" fontId="4" fillId="2" borderId="0" xfId="0" applyNumberFormat="1" applyFont="1" applyFill="1"/>
    <xf numFmtId="170" fontId="4" fillId="2" borderId="0" xfId="0" applyNumberFormat="1" applyFont="1" applyFill="1" applyBorder="1"/>
    <xf numFmtId="1" fontId="4" fillId="2" borderId="0" xfId="0" applyNumberFormat="1" applyFont="1" applyFill="1" applyBorder="1"/>
    <xf numFmtId="15" fontId="16" fillId="2" borderId="5" xfId="0" applyFont="1" applyFill="1" applyBorder="1"/>
    <xf numFmtId="2" fontId="30" fillId="0" borderId="18" xfId="0" applyNumberFormat="1" applyFont="1" applyBorder="1" applyAlignment="1">
      <alignment horizontal="center"/>
    </xf>
    <xf numFmtId="15" fontId="4" fillId="2" borderId="0" xfId="0" applyFont="1" applyFill="1"/>
    <xf numFmtId="8" fontId="4" fillId="2" borderId="43" xfId="0" applyNumberFormat="1" applyFont="1" applyFill="1" applyBorder="1"/>
    <xf numFmtId="8" fontId="16" fillId="2" borderId="18" xfId="0" applyNumberFormat="1" applyFont="1" applyFill="1" applyBorder="1"/>
    <xf numFmtId="8" fontId="4" fillId="2" borderId="18" xfId="0" applyNumberFormat="1" applyFont="1" applyFill="1" applyBorder="1"/>
    <xf numFmtId="167" fontId="16" fillId="2" borderId="5" xfId="0" applyNumberFormat="1" applyFont="1" applyFill="1" applyBorder="1"/>
    <xf numFmtId="167" fontId="4" fillId="2" borderId="10" xfId="0" applyNumberFormat="1" applyFont="1" applyFill="1" applyBorder="1"/>
    <xf numFmtId="167" fontId="4" fillId="2" borderId="0" xfId="0" applyNumberFormat="1" applyFont="1" applyFill="1"/>
    <xf numFmtId="167" fontId="4" fillId="2" borderId="0" xfId="0" applyNumberFormat="1" applyFont="1" applyFill="1" applyBorder="1"/>
    <xf numFmtId="15" fontId="4" fillId="0" borderId="25" xfId="0" applyFont="1" applyBorder="1" applyAlignment="1">
      <alignment horizontal="center"/>
    </xf>
    <xf numFmtId="15" fontId="4" fillId="0" borderId="93" xfId="0" applyNumberFormat="1" applyFont="1" applyBorder="1" applyAlignment="1">
      <alignment horizontal="center"/>
    </xf>
    <xf numFmtId="8" fontId="4" fillId="2" borderId="2" xfId="0" applyNumberFormat="1" applyFont="1" applyFill="1" applyBorder="1"/>
    <xf numFmtId="15" fontId="0" fillId="0" borderId="6" xfId="0" applyNumberFormat="1" applyBorder="1" applyAlignment="1">
      <alignment horizontal="center"/>
    </xf>
    <xf numFmtId="170" fontId="4" fillId="0" borderId="49" xfId="0" applyNumberFormat="1" applyFont="1" applyBorder="1"/>
    <xf numFmtId="0" fontId="4" fillId="2" borderId="2" xfId="0" applyNumberFormat="1" applyFont="1" applyFill="1" applyBorder="1"/>
    <xf numFmtId="0" fontId="4" fillId="2" borderId="0" xfId="0" applyNumberFormat="1" applyFont="1" applyFill="1"/>
    <xf numFmtId="1" fontId="16" fillId="0" borderId="0" xfId="0" applyNumberFormat="1" applyFont="1" applyBorder="1" applyAlignment="1">
      <alignment horizontal="center"/>
    </xf>
    <xf numFmtId="2" fontId="30" fillId="0" borderId="0" xfId="0" applyNumberFormat="1" applyFont="1" applyBorder="1" applyAlignment="1">
      <alignment horizontal="center"/>
    </xf>
    <xf numFmtId="170" fontId="4" fillId="0" borderId="28" xfId="0" applyNumberFormat="1" applyFont="1" applyBorder="1"/>
    <xf numFmtId="168" fontId="0" fillId="0" borderId="0" xfId="0" applyNumberFormat="1"/>
    <xf numFmtId="168" fontId="4" fillId="0" borderId="2" xfId="0" applyNumberFormat="1" applyFont="1" applyBorder="1" applyAlignment="1">
      <alignment wrapText="1"/>
    </xf>
    <xf numFmtId="168" fontId="0" fillId="0" borderId="0" xfId="0" applyNumberFormat="1" applyAlignment="1">
      <alignment wrapText="1"/>
    </xf>
    <xf numFmtId="168" fontId="0" fillId="0" borderId="0" xfId="0" applyNumberFormat="1" applyBorder="1"/>
    <xf numFmtId="168" fontId="16" fillId="0" borderId="0" xfId="0" applyNumberFormat="1" applyFont="1" applyBorder="1"/>
    <xf numFmtId="168" fontId="16" fillId="0" borderId="0" xfId="0" applyNumberFormat="1" applyFont="1" applyAlignment="1">
      <alignment wrapText="1"/>
    </xf>
    <xf numFmtId="170" fontId="3" fillId="0" borderId="21" xfId="0" applyNumberFormat="1" applyFont="1" applyBorder="1" applyAlignment="1">
      <alignment horizontal="left"/>
    </xf>
    <xf numFmtId="15" fontId="3" fillId="0" borderId="94" xfId="0" applyFont="1" applyBorder="1" applyAlignment="1">
      <alignment horizontal="center"/>
    </xf>
    <xf numFmtId="2" fontId="30" fillId="0" borderId="95" xfId="0" applyNumberFormat="1" applyFont="1" applyBorder="1" applyAlignment="1">
      <alignment horizontal="center"/>
    </xf>
    <xf numFmtId="1" fontId="16" fillId="0" borderId="8" xfId="0" applyNumberFormat="1" applyFont="1" applyBorder="1" applyAlignment="1">
      <alignment horizontal="center"/>
    </xf>
    <xf numFmtId="170" fontId="7" fillId="0" borderId="94" xfId="0" applyNumberFormat="1" applyFont="1" applyBorder="1" applyAlignment="1">
      <alignment horizontal="right"/>
    </xf>
    <xf numFmtId="8" fontId="4" fillId="0" borderId="96" xfId="0" applyNumberFormat="1" applyFont="1" applyBorder="1"/>
    <xf numFmtId="170" fontId="4" fillId="0" borderId="0" xfId="0" applyNumberFormat="1" applyFont="1" applyFill="1"/>
    <xf numFmtId="167" fontId="4" fillId="2" borderId="11" xfId="0" applyNumberFormat="1" applyFont="1" applyFill="1" applyBorder="1"/>
    <xf numFmtId="8" fontId="4" fillId="0" borderId="97" xfId="0" applyNumberFormat="1" applyFont="1" applyBorder="1"/>
    <xf numFmtId="8" fontId="4" fillId="0" borderId="98" xfId="0" applyNumberFormat="1" applyFont="1" applyBorder="1"/>
    <xf numFmtId="15" fontId="0" fillId="0" borderId="8" xfId="0" applyNumberFormat="1" applyBorder="1" applyAlignment="1">
      <alignment horizontal="center"/>
    </xf>
    <xf numFmtId="8" fontId="4" fillId="0" borderId="18" xfId="0" applyNumberFormat="1" applyFont="1" applyBorder="1" applyAlignment="1">
      <alignment horizontal="center"/>
    </xf>
    <xf numFmtId="8" fontId="4" fillId="0" borderId="28" xfId="0" applyNumberFormat="1" applyFont="1" applyFill="1" applyBorder="1"/>
    <xf numFmtId="170" fontId="4" fillId="0" borderId="28" xfId="0" applyNumberFormat="1" applyFont="1" applyFill="1" applyBorder="1"/>
    <xf numFmtId="2" fontId="30" fillId="0" borderId="96" xfId="0" applyNumberFormat="1" applyFont="1" applyBorder="1" applyAlignment="1">
      <alignment horizontal="center"/>
    </xf>
    <xf numFmtId="8" fontId="4" fillId="0" borderId="1" xfId="0" applyNumberFormat="1" applyFont="1" applyBorder="1"/>
    <xf numFmtId="1" fontId="4" fillId="0" borderId="99" xfId="0" applyNumberFormat="1" applyFont="1" applyBorder="1"/>
    <xf numFmtId="40" fontId="4" fillId="0" borderId="29" xfId="0" applyNumberFormat="1" applyFont="1" applyBorder="1"/>
    <xf numFmtId="168" fontId="4" fillId="0" borderId="0" xfId="0" applyNumberFormat="1" applyFont="1" applyAlignment="1">
      <alignment vertical="center"/>
    </xf>
    <xf numFmtId="168" fontId="4" fillId="0" borderId="8" xfId="0" applyNumberFormat="1" applyFont="1" applyBorder="1" applyAlignment="1">
      <alignment vertical="center"/>
    </xf>
    <xf numFmtId="168" fontId="4" fillId="0" borderId="100" xfId="0" applyNumberFormat="1" applyFont="1" applyBorder="1" applyAlignment="1">
      <alignment vertical="center"/>
    </xf>
    <xf numFmtId="168" fontId="4" fillId="0" borderId="54" xfId="0" applyNumberFormat="1" applyFont="1" applyBorder="1" applyAlignment="1">
      <alignment vertical="center"/>
    </xf>
    <xf numFmtId="168" fontId="4" fillId="0" borderId="101" xfId="0" applyNumberFormat="1" applyFont="1" applyBorder="1" applyAlignment="1">
      <alignment vertical="center"/>
    </xf>
    <xf numFmtId="168" fontId="28" fillId="0" borderId="0" xfId="0" applyNumberFormat="1" applyFont="1" applyAlignment="1">
      <alignment horizontal="left" vertical="center"/>
    </xf>
    <xf numFmtId="168" fontId="4" fillId="0" borderId="44" xfId="0" quotePrefix="1" applyNumberFormat="1" applyFont="1" applyBorder="1" applyAlignment="1">
      <alignment vertical="center"/>
    </xf>
    <xf numFmtId="168" fontId="4" fillId="0" borderId="2" xfId="0" applyNumberFormat="1" applyFont="1" applyBorder="1" applyAlignment="1">
      <alignment vertical="center"/>
    </xf>
    <xf numFmtId="168" fontId="4" fillId="0" borderId="72" xfId="0" quotePrefix="1" applyNumberFormat="1" applyFont="1" applyBorder="1" applyAlignment="1">
      <alignment vertical="center"/>
    </xf>
    <xf numFmtId="168" fontId="3" fillId="0" borderId="0" xfId="0" applyNumberFormat="1" applyFont="1" applyAlignment="1">
      <alignment horizontal="left" vertical="center"/>
    </xf>
    <xf numFmtId="168" fontId="11" fillId="0" borderId="0" xfId="0" applyNumberFormat="1" applyFont="1" applyAlignment="1">
      <alignment vertical="center"/>
    </xf>
    <xf numFmtId="1" fontId="4" fillId="2" borderId="8" xfId="0" applyNumberFormat="1" applyFont="1" applyFill="1" applyBorder="1"/>
    <xf numFmtId="166" fontId="8" fillId="0" borderId="0" xfId="0" applyNumberFormat="1" applyFont="1" applyBorder="1" applyAlignment="1">
      <alignment horizontal="center"/>
    </xf>
    <xf numFmtId="15" fontId="8" fillId="0" borderId="0" xfId="0" applyFont="1"/>
    <xf numFmtId="170" fontId="4" fillId="0" borderId="71" xfId="0" applyNumberFormat="1" applyFont="1" applyBorder="1"/>
    <xf numFmtId="1" fontId="4" fillId="2" borderId="71" xfId="0" applyNumberFormat="1" applyFont="1" applyFill="1" applyBorder="1"/>
    <xf numFmtId="175" fontId="4" fillId="2" borderId="24" xfId="0" applyNumberFormat="1" applyFont="1" applyFill="1" applyBorder="1"/>
    <xf numFmtId="1" fontId="4" fillId="2" borderId="10" xfId="0" applyNumberFormat="1" applyFont="1" applyFill="1" applyBorder="1"/>
    <xf numFmtId="15" fontId="3" fillId="0" borderId="44" xfId="0" applyFont="1" applyBorder="1" applyAlignment="1">
      <alignment horizontal="center" wrapText="1"/>
    </xf>
    <xf numFmtId="15" fontId="4" fillId="0" borderId="102" xfId="0" applyNumberFormat="1" applyFont="1" applyBorder="1" applyAlignment="1">
      <alignment horizontal="center" wrapText="1"/>
    </xf>
    <xf numFmtId="168" fontId="3" fillId="0" borderId="18" xfId="0" applyNumberFormat="1" applyFont="1" applyBorder="1"/>
    <xf numFmtId="15" fontId="4" fillId="3" borderId="9" xfId="0" applyFont="1" applyFill="1" applyBorder="1" applyAlignment="1" applyProtection="1">
      <alignment horizontal="center"/>
      <protection locked="0"/>
    </xf>
    <xf numFmtId="15" fontId="4" fillId="3" borderId="24" xfId="0" applyFont="1" applyFill="1" applyBorder="1" applyAlignment="1" applyProtection="1">
      <alignment horizontal="center"/>
      <protection locked="0"/>
    </xf>
    <xf numFmtId="1" fontId="4" fillId="3" borderId="10" xfId="0" applyNumberFormat="1" applyFont="1" applyFill="1" applyBorder="1" applyAlignment="1" applyProtection="1">
      <alignment horizontal="center"/>
      <protection locked="0"/>
    </xf>
    <xf numFmtId="1" fontId="4" fillId="3" borderId="24" xfId="0" applyNumberFormat="1" applyFont="1" applyFill="1" applyBorder="1" applyAlignment="1" applyProtection="1">
      <alignment horizontal="center"/>
      <protection locked="0"/>
    </xf>
    <xf numFmtId="1" fontId="4" fillId="3" borderId="11" xfId="0" applyNumberFormat="1" applyFont="1" applyFill="1" applyBorder="1" applyAlignment="1" applyProtection="1">
      <alignment horizontal="center"/>
      <protection locked="0"/>
    </xf>
    <xf numFmtId="1" fontId="4" fillId="3" borderId="31" xfId="0" applyNumberFormat="1" applyFont="1" applyFill="1" applyBorder="1" applyAlignment="1" applyProtection="1">
      <alignment horizontal="center"/>
      <protection locked="0"/>
    </xf>
    <xf numFmtId="1" fontId="4" fillId="3" borderId="103" xfId="0" applyNumberFormat="1" applyFont="1" applyFill="1" applyBorder="1" applyAlignment="1" applyProtection="1">
      <alignment horizontal="center"/>
      <protection locked="0"/>
    </xf>
    <xf numFmtId="1" fontId="4" fillId="3" borderId="32" xfId="0" applyNumberFormat="1" applyFont="1" applyFill="1" applyBorder="1" applyAlignment="1" applyProtection="1">
      <alignment horizontal="center"/>
      <protection locked="0"/>
    </xf>
    <xf numFmtId="170" fontId="4" fillId="3" borderId="38" xfId="0" applyNumberFormat="1" applyFont="1" applyFill="1" applyBorder="1" applyProtection="1">
      <protection locked="0"/>
    </xf>
    <xf numFmtId="170" fontId="4" fillId="3" borderId="30" xfId="0" applyNumberFormat="1" applyFont="1" applyFill="1" applyBorder="1" applyProtection="1">
      <protection locked="0"/>
    </xf>
    <xf numFmtId="170" fontId="4" fillId="3" borderId="22" xfId="0" applyNumberFormat="1" applyFont="1" applyFill="1" applyBorder="1" applyProtection="1">
      <protection locked="0"/>
    </xf>
    <xf numFmtId="170" fontId="4" fillId="3" borderId="10" xfId="0" applyNumberFormat="1" applyFont="1" applyFill="1" applyBorder="1" applyProtection="1">
      <protection locked="0"/>
    </xf>
    <xf numFmtId="170" fontId="4" fillId="3" borderId="24" xfId="0" applyNumberFormat="1" applyFont="1" applyFill="1" applyBorder="1" applyProtection="1">
      <protection locked="0"/>
    </xf>
    <xf numFmtId="170" fontId="4" fillId="3" borderId="11" xfId="0" applyNumberFormat="1" applyFont="1" applyFill="1" applyBorder="1" applyProtection="1">
      <protection locked="0"/>
    </xf>
    <xf numFmtId="170" fontId="4" fillId="3" borderId="77" xfId="0" applyNumberFormat="1" applyFont="1" applyFill="1" applyBorder="1" applyProtection="1">
      <protection locked="0"/>
    </xf>
    <xf numFmtId="170" fontId="4" fillId="3" borderId="104" xfId="0" applyNumberFormat="1" applyFont="1" applyFill="1" applyBorder="1" applyProtection="1">
      <protection locked="0"/>
    </xf>
    <xf numFmtId="170" fontId="4" fillId="3" borderId="51" xfId="0" applyNumberFormat="1" applyFont="1" applyFill="1" applyBorder="1" applyProtection="1">
      <protection locked="0"/>
    </xf>
    <xf numFmtId="170" fontId="4" fillId="3" borderId="12" xfId="0" applyNumberFormat="1" applyFont="1" applyFill="1" applyBorder="1" applyProtection="1">
      <protection locked="0"/>
    </xf>
    <xf numFmtId="170" fontId="4" fillId="3" borderId="75" xfId="0" applyNumberFormat="1" applyFont="1" applyFill="1" applyBorder="1" applyProtection="1">
      <protection locked="0"/>
    </xf>
    <xf numFmtId="170" fontId="4" fillId="3" borderId="45" xfId="0" applyNumberFormat="1" applyFont="1" applyFill="1" applyBorder="1" applyProtection="1">
      <protection locked="0"/>
    </xf>
    <xf numFmtId="170" fontId="4" fillId="3" borderId="48" xfId="0" applyNumberFormat="1" applyFont="1" applyFill="1" applyBorder="1" applyProtection="1">
      <protection locked="0"/>
    </xf>
    <xf numFmtId="170" fontId="4" fillId="3" borderId="46" xfId="0" applyNumberFormat="1" applyFont="1" applyFill="1" applyBorder="1" applyProtection="1">
      <protection locked="0"/>
    </xf>
    <xf numFmtId="1" fontId="35" fillId="3" borderId="90" xfId="0" applyNumberFormat="1" applyFont="1" applyFill="1" applyBorder="1" applyAlignment="1" applyProtection="1">
      <alignment horizontal="center"/>
      <protection locked="0"/>
    </xf>
    <xf numFmtId="1" fontId="35" fillId="3" borderId="91" xfId="0" applyNumberFormat="1" applyFont="1" applyFill="1" applyBorder="1" applyAlignment="1" applyProtection="1">
      <alignment horizontal="center"/>
      <protection locked="0"/>
    </xf>
    <xf numFmtId="170" fontId="4" fillId="3" borderId="105" xfId="0" applyNumberFormat="1" applyFont="1" applyFill="1" applyBorder="1" applyProtection="1">
      <protection locked="0"/>
    </xf>
    <xf numFmtId="2" fontId="30" fillId="0" borderId="77" xfId="0" applyNumberFormat="1" applyFont="1" applyBorder="1" applyAlignment="1">
      <alignment horizontal="center"/>
    </xf>
    <xf numFmtId="170" fontId="4" fillId="3" borderId="65" xfId="0" applyNumberFormat="1" applyFont="1" applyFill="1" applyBorder="1" applyProtection="1">
      <protection locked="0"/>
    </xf>
    <xf numFmtId="168" fontId="4" fillId="0" borderId="106" xfId="0" applyNumberFormat="1" applyFont="1" applyBorder="1"/>
    <xf numFmtId="168" fontId="4" fillId="0" borderId="107" xfId="0" applyNumberFormat="1" applyFont="1" applyBorder="1"/>
    <xf numFmtId="168" fontId="4" fillId="0" borderId="108" xfId="0" applyNumberFormat="1" applyFont="1" applyBorder="1"/>
    <xf numFmtId="168" fontId="4" fillId="0" borderId="109" xfId="0" applyNumberFormat="1" applyFont="1" applyBorder="1"/>
    <xf numFmtId="170" fontId="4" fillId="3" borderId="110" xfId="0" applyNumberFormat="1" applyFont="1" applyFill="1" applyBorder="1" applyProtection="1">
      <protection locked="0"/>
    </xf>
    <xf numFmtId="170" fontId="4" fillId="3" borderId="111" xfId="0" applyNumberFormat="1" applyFont="1" applyFill="1" applyBorder="1" applyProtection="1">
      <protection locked="0"/>
    </xf>
    <xf numFmtId="170" fontId="4" fillId="3" borderId="106" xfId="0" applyNumberFormat="1" applyFont="1" applyFill="1" applyBorder="1" applyProtection="1">
      <protection locked="0"/>
    </xf>
    <xf numFmtId="8" fontId="4" fillId="3" borderId="110" xfId="0" applyNumberFormat="1" applyFont="1" applyFill="1" applyBorder="1" applyProtection="1">
      <protection locked="0"/>
    </xf>
    <xf numFmtId="170" fontId="4" fillId="3" borderId="112" xfId="0" applyNumberFormat="1" applyFont="1" applyFill="1" applyBorder="1" applyProtection="1">
      <protection locked="0"/>
    </xf>
    <xf numFmtId="170" fontId="4" fillId="3" borderId="113" xfId="0" applyNumberFormat="1" applyFont="1" applyFill="1" applyBorder="1" applyProtection="1">
      <protection locked="0"/>
    </xf>
    <xf numFmtId="170" fontId="4" fillId="3" borderId="108" xfId="0" applyNumberFormat="1" applyFont="1" applyFill="1" applyBorder="1" applyProtection="1">
      <protection locked="0"/>
    </xf>
    <xf numFmtId="8" fontId="4" fillId="3" borderId="112" xfId="0" applyNumberFormat="1" applyFont="1" applyFill="1" applyBorder="1" applyProtection="1">
      <protection locked="0"/>
    </xf>
    <xf numFmtId="170" fontId="4" fillId="3" borderId="114" xfId="0" applyNumberFormat="1" applyFont="1" applyFill="1" applyBorder="1" applyAlignment="1" applyProtection="1">
      <alignment horizontal="left" wrapText="1"/>
      <protection locked="0"/>
    </xf>
    <xf numFmtId="170" fontId="8" fillId="3" borderId="112" xfId="0" applyNumberFormat="1" applyFont="1" applyFill="1" applyBorder="1" applyProtection="1">
      <protection locked="0"/>
    </xf>
    <xf numFmtId="170" fontId="4" fillId="3" borderId="115" xfId="0" applyNumberFormat="1" applyFont="1" applyFill="1" applyBorder="1" applyAlignment="1" applyProtection="1">
      <alignment horizontal="left" wrapText="1"/>
      <protection locked="0"/>
    </xf>
    <xf numFmtId="170" fontId="4" fillId="3" borderId="116" xfId="0" applyNumberFormat="1" applyFont="1" applyFill="1" applyBorder="1" applyProtection="1">
      <protection locked="0"/>
    </xf>
    <xf numFmtId="170" fontId="4" fillId="3" borderId="117" xfId="0" applyNumberFormat="1" applyFont="1" applyFill="1" applyBorder="1" applyProtection="1">
      <protection locked="0"/>
    </xf>
    <xf numFmtId="170" fontId="4" fillId="3" borderId="118" xfId="0" applyNumberFormat="1" applyFont="1" applyFill="1" applyBorder="1" applyProtection="1">
      <protection locked="0"/>
    </xf>
    <xf numFmtId="170" fontId="4" fillId="3" borderId="19" xfId="0" applyNumberFormat="1" applyFont="1" applyFill="1" applyBorder="1" applyProtection="1">
      <protection locked="0"/>
    </xf>
    <xf numFmtId="170" fontId="4" fillId="3" borderId="14" xfId="0" applyNumberFormat="1" applyFont="1" applyFill="1" applyBorder="1" applyProtection="1">
      <protection locked="0"/>
    </xf>
    <xf numFmtId="170" fontId="4" fillId="0" borderId="40" xfId="0" applyNumberFormat="1" applyFont="1" applyBorder="1" applyAlignment="1">
      <alignment horizontal="right"/>
    </xf>
    <xf numFmtId="15" fontId="0" fillId="0" borderId="23" xfId="0" applyNumberFormat="1" applyBorder="1" applyAlignment="1">
      <alignment horizontal="right"/>
    </xf>
    <xf numFmtId="15" fontId="4" fillId="0" borderId="13" xfId="0" applyFont="1" applyBorder="1" applyAlignment="1">
      <alignment horizontal="center"/>
    </xf>
    <xf numFmtId="8" fontId="3" fillId="0" borderId="33" xfId="0" applyNumberFormat="1" applyFont="1" applyBorder="1" applyAlignment="1">
      <alignment horizontal="left"/>
    </xf>
    <xf numFmtId="8" fontId="4" fillId="0" borderId="119" xfId="0" applyNumberFormat="1" applyFont="1" applyBorder="1"/>
    <xf numFmtId="8" fontId="4" fillId="0" borderId="120" xfId="0" applyNumberFormat="1" applyFont="1" applyBorder="1"/>
    <xf numFmtId="8" fontId="4" fillId="0" borderId="121" xfId="0" applyNumberFormat="1" applyFont="1" applyBorder="1"/>
    <xf numFmtId="15" fontId="4" fillId="0" borderId="122" xfId="0" applyFont="1" applyBorder="1" applyAlignment="1">
      <alignment horizontal="center"/>
    </xf>
    <xf numFmtId="15" fontId="4" fillId="0" borderId="123" xfId="0" applyFont="1" applyBorder="1" applyAlignment="1">
      <alignment horizontal="center"/>
    </xf>
    <xf numFmtId="15" fontId="0" fillId="3" borderId="118" xfId="0" applyNumberFormat="1" applyFill="1" applyBorder="1" applyAlignment="1" applyProtection="1">
      <alignment horizontal="center"/>
      <protection locked="0"/>
    </xf>
    <xf numFmtId="15" fontId="4" fillId="0" borderId="124" xfId="0" applyFont="1" applyBorder="1" applyAlignment="1">
      <alignment horizontal="center"/>
    </xf>
    <xf numFmtId="15" fontId="4" fillId="0" borderId="125" xfId="0" applyFont="1" applyBorder="1" applyAlignment="1">
      <alignment horizontal="center"/>
    </xf>
    <xf numFmtId="15" fontId="4" fillId="0" borderId="126" xfId="0" applyFont="1" applyBorder="1" applyAlignment="1">
      <alignment horizontal="center"/>
    </xf>
    <xf numFmtId="15" fontId="4" fillId="0" borderId="127" xfId="0" applyFont="1" applyBorder="1" applyAlignment="1">
      <alignment horizontal="right"/>
    </xf>
    <xf numFmtId="15" fontId="4" fillId="0" borderId="128" xfId="0" applyFont="1" applyBorder="1" applyAlignment="1">
      <alignment horizontal="right"/>
    </xf>
    <xf numFmtId="8" fontId="4" fillId="3" borderId="128" xfId="0" applyNumberFormat="1" applyFont="1" applyFill="1" applyBorder="1" applyProtection="1">
      <protection locked="0"/>
    </xf>
    <xf numFmtId="8" fontId="4" fillId="3" borderId="130" xfId="0" applyNumberFormat="1" applyFont="1" applyFill="1" applyBorder="1" applyProtection="1">
      <protection locked="0"/>
    </xf>
    <xf numFmtId="15" fontId="4" fillId="3" borderId="131" xfId="0" applyFont="1" applyFill="1" applyBorder="1" applyAlignment="1" applyProtection="1">
      <alignment horizontal="center"/>
      <protection locked="0"/>
    </xf>
    <xf numFmtId="15" fontId="4" fillId="0" borderId="132" xfId="0" applyFont="1" applyBorder="1" applyAlignment="1">
      <alignment horizontal="right"/>
    </xf>
    <xf numFmtId="167" fontId="4" fillId="3" borderId="133" xfId="0" applyNumberFormat="1" applyFont="1" applyFill="1" applyBorder="1" applyProtection="1">
      <protection locked="0"/>
    </xf>
    <xf numFmtId="167" fontId="4" fillId="3" borderId="134" xfId="0" applyNumberFormat="1" applyFont="1" applyFill="1" applyBorder="1" applyProtection="1">
      <protection locked="0"/>
    </xf>
    <xf numFmtId="8" fontId="4" fillId="3" borderId="135" xfId="0" applyNumberFormat="1" applyFont="1" applyFill="1" applyBorder="1" applyProtection="1">
      <protection locked="0"/>
    </xf>
    <xf numFmtId="8" fontId="4" fillId="0" borderId="136" xfId="0" applyNumberFormat="1" applyFont="1" applyBorder="1"/>
    <xf numFmtId="8" fontId="4" fillId="0" borderId="137" xfId="0" applyNumberFormat="1" applyFont="1" applyBorder="1"/>
    <xf numFmtId="8" fontId="4" fillId="0" borderId="138" xfId="0" applyNumberFormat="1" applyFont="1" applyBorder="1"/>
    <xf numFmtId="8" fontId="4" fillId="0" borderId="139" xfId="0" applyNumberFormat="1" applyFont="1" applyBorder="1"/>
    <xf numFmtId="8" fontId="4" fillId="0" borderId="140" xfId="0" applyNumberFormat="1" applyFont="1" applyBorder="1"/>
    <xf numFmtId="8" fontId="4" fillId="0" borderId="141" xfId="0" applyNumberFormat="1" applyFont="1" applyBorder="1"/>
    <xf numFmtId="168" fontId="4" fillId="3" borderId="142" xfId="0" applyNumberFormat="1" applyFont="1" applyFill="1" applyBorder="1" applyProtection="1">
      <protection locked="0"/>
    </xf>
    <xf numFmtId="8" fontId="4" fillId="3" borderId="143" xfId="0" applyNumberFormat="1" applyFont="1" applyFill="1" applyBorder="1" applyProtection="1">
      <protection locked="0"/>
    </xf>
    <xf numFmtId="8" fontId="4" fillId="3" borderId="116" xfId="0" applyNumberFormat="1" applyFont="1" applyFill="1" applyBorder="1" applyProtection="1">
      <protection locked="0"/>
    </xf>
    <xf numFmtId="8" fontId="4" fillId="0" borderId="144" xfId="0" applyNumberFormat="1" applyFont="1" applyBorder="1"/>
    <xf numFmtId="8" fontId="4" fillId="0" borderId="145" xfId="0" applyNumberFormat="1" applyFont="1" applyBorder="1"/>
    <xf numFmtId="8" fontId="4" fillId="0" borderId="146" xfId="0" applyNumberFormat="1" applyFont="1" applyBorder="1"/>
    <xf numFmtId="8" fontId="4" fillId="0" borderId="147" xfId="0" applyNumberFormat="1" applyFont="1" applyBorder="1"/>
    <xf numFmtId="8" fontId="4" fillId="0" borderId="148" xfId="0" applyNumberFormat="1" applyFont="1" applyBorder="1"/>
    <xf numFmtId="8" fontId="4" fillId="0" borderId="149" xfId="0" applyNumberFormat="1" applyFont="1" applyBorder="1"/>
    <xf numFmtId="8" fontId="4" fillId="0" borderId="150" xfId="0" applyNumberFormat="1" applyFont="1" applyBorder="1"/>
    <xf numFmtId="8" fontId="4" fillId="0" borderId="151" xfId="0" applyNumberFormat="1" applyFont="1" applyBorder="1"/>
    <xf numFmtId="8" fontId="4" fillId="0" borderId="152" xfId="0" applyNumberFormat="1" applyFont="1" applyBorder="1"/>
    <xf numFmtId="8" fontId="4" fillId="3" borderId="153" xfId="0" applyNumberFormat="1" applyFont="1" applyFill="1" applyBorder="1" applyProtection="1">
      <protection locked="0"/>
    </xf>
    <xf numFmtId="167" fontId="4" fillId="3" borderId="154" xfId="0" applyNumberFormat="1" applyFont="1" applyFill="1" applyBorder="1" applyAlignment="1" applyProtection="1">
      <alignment horizontal="center"/>
      <protection locked="0"/>
    </xf>
    <xf numFmtId="168" fontId="4" fillId="0" borderId="127" xfId="0" applyNumberFormat="1" applyFont="1" applyBorder="1"/>
    <xf numFmtId="168" fontId="4" fillId="0" borderId="125" xfId="0" quotePrefix="1" applyNumberFormat="1" applyFont="1" applyBorder="1"/>
    <xf numFmtId="8" fontId="4" fillId="3" borderId="155" xfId="0" quotePrefix="1" applyNumberFormat="1" applyFont="1" applyFill="1" applyBorder="1" applyProtection="1">
      <protection locked="0"/>
    </xf>
    <xf numFmtId="168" fontId="4" fillId="0" borderId="128" xfId="0" applyNumberFormat="1" applyFont="1" applyBorder="1"/>
    <xf numFmtId="3" fontId="4" fillId="0" borderId="156" xfId="0" quotePrefix="1" applyNumberFormat="1" applyFont="1" applyBorder="1" applyAlignment="1">
      <alignment vertical="top"/>
    </xf>
    <xf numFmtId="168" fontId="4" fillId="3" borderId="157" xfId="0" applyNumberFormat="1" applyFont="1" applyFill="1" applyBorder="1" applyAlignment="1" applyProtection="1">
      <alignment vertical="top"/>
      <protection locked="0"/>
    </xf>
    <xf numFmtId="168" fontId="4" fillId="0" borderId="132" xfId="0" applyNumberFormat="1" applyFont="1" applyBorder="1"/>
    <xf numFmtId="168" fontId="4" fillId="0" borderId="158" xfId="0" applyNumberFormat="1" applyFont="1" applyBorder="1"/>
    <xf numFmtId="8" fontId="4" fillId="0" borderId="159" xfId="0" quotePrefix="1" applyNumberFormat="1" applyFont="1" applyBorder="1"/>
    <xf numFmtId="15" fontId="4" fillId="0" borderId="125" xfId="0" applyNumberFormat="1" applyFont="1" applyFill="1" applyBorder="1" applyAlignment="1" applyProtection="1">
      <alignment horizontal="left"/>
    </xf>
    <xf numFmtId="15" fontId="36" fillId="0" borderId="0" xfId="0" applyFont="1"/>
    <xf numFmtId="15" fontId="36" fillId="0" borderId="0" xfId="0" applyFont="1" applyAlignment="1">
      <alignment vertical="center" wrapText="1"/>
    </xf>
    <xf numFmtId="168" fontId="4" fillId="4" borderId="160" xfId="0" applyNumberFormat="1" applyFont="1" applyFill="1" applyBorder="1" applyProtection="1">
      <protection locked="0"/>
    </xf>
    <xf numFmtId="168" fontId="4" fillId="4" borderId="106" xfId="0" applyNumberFormat="1" applyFont="1" applyFill="1" applyBorder="1" applyProtection="1">
      <protection locked="0"/>
    </xf>
    <xf numFmtId="168" fontId="4" fillId="4" borderId="161" xfId="0" applyNumberFormat="1" applyFont="1" applyFill="1" applyBorder="1" applyProtection="1">
      <protection locked="0"/>
    </xf>
    <xf numFmtId="168" fontId="4" fillId="4" borderId="108" xfId="0" applyNumberFormat="1" applyFont="1" applyFill="1" applyBorder="1" applyProtection="1">
      <protection locked="0"/>
    </xf>
    <xf numFmtId="1" fontId="16" fillId="3" borderId="123" xfId="0" applyNumberFormat="1" applyFont="1" applyFill="1" applyBorder="1" applyAlignment="1" applyProtection="1">
      <alignment horizontal="center"/>
      <protection locked="0"/>
    </xf>
    <xf numFmtId="15" fontId="4" fillId="3" borderId="125" xfId="0" applyFont="1" applyFill="1" applyBorder="1" applyAlignment="1" applyProtection="1">
      <alignment horizontal="center"/>
      <protection locked="0"/>
    </xf>
    <xf numFmtId="167" fontId="4" fillId="3" borderId="134" xfId="0" applyNumberFormat="1" applyFont="1" applyFill="1" applyBorder="1" applyAlignment="1" applyProtection="1">
      <alignment horizontal="center"/>
      <protection locked="0"/>
    </xf>
    <xf numFmtId="8" fontId="4" fillId="3" borderId="162" xfId="0" applyNumberFormat="1" applyFont="1" applyFill="1" applyBorder="1" applyProtection="1">
      <protection locked="0"/>
    </xf>
    <xf numFmtId="8" fontId="4" fillId="3" borderId="137" xfId="0" applyNumberFormat="1" applyFont="1" applyFill="1" applyBorder="1" applyProtection="1">
      <protection locked="0"/>
    </xf>
    <xf numFmtId="8" fontId="4" fillId="3" borderId="140" xfId="0" applyNumberFormat="1" applyFont="1" applyFill="1" applyBorder="1" applyProtection="1">
      <protection locked="0"/>
    </xf>
    <xf numFmtId="8" fontId="4" fillId="3" borderId="133" xfId="0" applyNumberFormat="1" applyFont="1" applyFill="1" applyBorder="1" applyProtection="1">
      <protection locked="0"/>
    </xf>
    <xf numFmtId="8" fontId="4" fillId="3" borderId="134" xfId="0" applyNumberFormat="1" applyFont="1" applyFill="1" applyBorder="1" applyProtection="1">
      <protection locked="0"/>
    </xf>
    <xf numFmtId="15" fontId="4" fillId="0" borderId="0" xfId="0" applyFont="1" applyFill="1" applyBorder="1" applyAlignment="1" applyProtection="1">
      <alignment horizontal="center"/>
      <protection locked="0"/>
    </xf>
    <xf numFmtId="167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Protection="1">
      <protection locked="0"/>
    </xf>
    <xf numFmtId="167" fontId="4" fillId="0" borderId="0" xfId="0" applyNumberFormat="1" applyFont="1" applyFill="1" applyBorder="1"/>
    <xf numFmtId="1" fontId="4" fillId="0" borderId="0" xfId="0" applyNumberFormat="1" applyFont="1" applyFill="1" applyBorder="1"/>
    <xf numFmtId="15" fontId="4" fillId="0" borderId="0" xfId="0" applyFont="1" applyFill="1" applyBorder="1"/>
    <xf numFmtId="170" fontId="4" fillId="0" borderId="0" xfId="0" applyNumberFormat="1" applyFont="1" applyFill="1" applyBorder="1" applyProtection="1">
      <protection locked="0"/>
    </xf>
    <xf numFmtId="170" fontId="4" fillId="0" borderId="0" xfId="0" applyNumberFormat="1" applyFont="1" applyFill="1" applyBorder="1"/>
    <xf numFmtId="2" fontId="30" fillId="0" borderId="0" xfId="0" applyNumberFormat="1" applyFont="1" applyFill="1" applyBorder="1" applyAlignment="1">
      <alignment horizontal="center"/>
    </xf>
    <xf numFmtId="8" fontId="4" fillId="0" borderId="0" xfId="0" applyNumberFormat="1" applyFont="1" applyFill="1" applyBorder="1"/>
    <xf numFmtId="1" fontId="16" fillId="0" borderId="0" xfId="0" applyNumberFormat="1" applyFont="1" applyFill="1" applyBorder="1" applyAlignment="1" applyProtection="1">
      <alignment horizontal="center"/>
      <protection locked="0"/>
    </xf>
    <xf numFmtId="15" fontId="4" fillId="0" borderId="163" xfId="0" applyFont="1" applyBorder="1"/>
    <xf numFmtId="166" fontId="4" fillId="0" borderId="24" xfId="0" applyNumberFormat="1" applyFont="1" applyBorder="1"/>
    <xf numFmtId="4" fontId="4" fillId="0" borderId="29" xfId="0" applyNumberFormat="1" applyFont="1" applyBorder="1"/>
    <xf numFmtId="15" fontId="0" fillId="0" borderId="164" xfId="0" applyNumberFormat="1" applyFill="1" applyBorder="1" applyAlignment="1" applyProtection="1">
      <alignment horizontal="center"/>
      <protection locked="0"/>
    </xf>
    <xf numFmtId="170" fontId="4" fillId="0" borderId="88" xfId="0" applyNumberFormat="1" applyFont="1" applyFill="1" applyBorder="1" applyProtection="1">
      <protection locked="0"/>
    </xf>
    <xf numFmtId="1" fontId="35" fillId="3" borderId="89" xfId="0" applyNumberFormat="1" applyFont="1" applyFill="1" applyBorder="1" applyAlignment="1" applyProtection="1">
      <alignment horizontal="center"/>
      <protection locked="0"/>
    </xf>
    <xf numFmtId="15" fontId="4" fillId="0" borderId="71" xfId="0" applyFont="1" applyBorder="1"/>
    <xf numFmtId="170" fontId="4" fillId="0" borderId="165" xfId="0" applyNumberFormat="1" applyFont="1" applyFill="1" applyBorder="1" applyProtection="1">
      <protection locked="0"/>
    </xf>
    <xf numFmtId="15" fontId="4" fillId="0" borderId="9" xfId="0" applyFont="1" applyFill="1" applyBorder="1" applyAlignment="1" applyProtection="1">
      <alignment horizontal="center"/>
    </xf>
    <xf numFmtId="168" fontId="4" fillId="0" borderId="31" xfId="0" applyNumberFormat="1" applyFont="1" applyBorder="1"/>
    <xf numFmtId="168" fontId="4" fillId="0" borderId="32" xfId="0" applyNumberFormat="1" applyFont="1" applyBorder="1"/>
    <xf numFmtId="168" fontId="4" fillId="0" borderId="166" xfId="0" applyNumberFormat="1" applyFont="1" applyBorder="1"/>
    <xf numFmtId="168" fontId="4" fillId="4" borderId="75" xfId="0" applyNumberFormat="1" applyFont="1" applyFill="1" applyBorder="1" applyProtection="1">
      <protection locked="0"/>
    </xf>
    <xf numFmtId="168" fontId="4" fillId="4" borderId="12" xfId="0" applyNumberFormat="1" applyFont="1" applyFill="1" applyBorder="1" applyProtection="1">
      <protection locked="0"/>
    </xf>
    <xf numFmtId="168" fontId="4" fillId="0" borderId="167" xfId="0" applyNumberFormat="1" applyFont="1" applyBorder="1"/>
    <xf numFmtId="1" fontId="37" fillId="3" borderId="90" xfId="0" applyNumberFormat="1" applyFont="1" applyFill="1" applyBorder="1" applyAlignment="1" applyProtection="1">
      <alignment horizontal="center"/>
      <protection locked="0"/>
    </xf>
    <xf numFmtId="168" fontId="0" fillId="0" borderId="0" xfId="0" applyNumberFormat="1" applyFont="1"/>
    <xf numFmtId="15" fontId="4" fillId="0" borderId="10" xfId="0" applyFont="1" applyFill="1" applyBorder="1" applyAlignment="1" applyProtection="1">
      <alignment horizontal="center"/>
    </xf>
    <xf numFmtId="170" fontId="4" fillId="0" borderId="11" xfId="0" applyNumberFormat="1" applyFont="1" applyBorder="1" applyProtection="1">
      <protection locked="0"/>
    </xf>
    <xf numFmtId="170" fontId="4" fillId="0" borderId="5" xfId="0" applyNumberFormat="1" applyFont="1" applyBorder="1" applyProtection="1">
      <protection locked="0"/>
    </xf>
    <xf numFmtId="170" fontId="4" fillId="0" borderId="8" xfId="0" applyNumberFormat="1" applyFont="1" applyBorder="1" applyProtection="1">
      <protection locked="0"/>
    </xf>
    <xf numFmtId="170" fontId="4" fillId="0" borderId="0" xfId="0" applyNumberFormat="1" applyFont="1" applyBorder="1" applyProtection="1">
      <protection locked="0"/>
    </xf>
    <xf numFmtId="15" fontId="0" fillId="0" borderId="0" xfId="0" applyProtection="1">
      <protection locked="0"/>
    </xf>
    <xf numFmtId="15" fontId="4" fillId="0" borderId="52" xfId="0" applyFont="1" applyBorder="1" applyProtection="1"/>
    <xf numFmtId="170" fontId="4" fillId="0" borderId="38" xfId="0" applyNumberFormat="1" applyFont="1" applyFill="1" applyBorder="1" applyProtection="1"/>
    <xf numFmtId="1" fontId="4" fillId="0" borderId="10" xfId="0" applyNumberFormat="1" applyFont="1" applyFill="1" applyBorder="1" applyAlignment="1" applyProtection="1">
      <alignment horizontal="center"/>
    </xf>
    <xf numFmtId="1" fontId="4" fillId="0" borderId="31" xfId="0" applyNumberFormat="1" applyFont="1" applyFill="1" applyBorder="1" applyAlignment="1" applyProtection="1">
      <alignment horizontal="center"/>
    </xf>
    <xf numFmtId="167" fontId="4" fillId="2" borderId="10" xfId="0" applyNumberFormat="1" applyFont="1" applyFill="1" applyBorder="1" applyProtection="1"/>
    <xf numFmtId="1" fontId="4" fillId="2" borderId="24" xfId="0" applyNumberFormat="1" applyFont="1" applyFill="1" applyBorder="1" applyProtection="1"/>
    <xf numFmtId="1" fontId="4" fillId="2" borderId="0" xfId="0" applyNumberFormat="1" applyFont="1" applyFill="1" applyBorder="1" applyProtection="1"/>
    <xf numFmtId="1" fontId="4" fillId="2" borderId="10" xfId="0" applyNumberFormat="1" applyFont="1" applyFill="1" applyBorder="1" applyProtection="1"/>
    <xf numFmtId="170" fontId="4" fillId="0" borderId="10" xfId="0" applyNumberFormat="1" applyFont="1" applyFill="1" applyBorder="1" applyProtection="1"/>
    <xf numFmtId="170" fontId="4" fillId="0" borderId="77" xfId="0" applyNumberFormat="1" applyFont="1" applyFill="1" applyBorder="1" applyProtection="1"/>
    <xf numFmtId="170" fontId="4" fillId="0" borderId="90" xfId="0" applyNumberFormat="1" applyFont="1" applyBorder="1" applyProtection="1"/>
    <xf numFmtId="2" fontId="30" fillId="0" borderId="52" xfId="0" applyNumberFormat="1" applyFont="1" applyBorder="1" applyAlignment="1" applyProtection="1">
      <alignment horizontal="center"/>
    </xf>
    <xf numFmtId="170" fontId="4" fillId="0" borderId="45" xfId="0" applyNumberFormat="1" applyFont="1" applyBorder="1" applyProtection="1"/>
    <xf numFmtId="170" fontId="4" fillId="0" borderId="19" xfId="0" applyNumberFormat="1" applyFont="1" applyBorder="1" applyProtection="1"/>
    <xf numFmtId="170" fontId="4" fillId="0" borderId="75" xfId="0" applyNumberFormat="1" applyFont="1" applyFill="1" applyBorder="1" applyProtection="1"/>
    <xf numFmtId="170" fontId="4" fillId="0" borderId="52" xfId="0" applyNumberFormat="1" applyFont="1" applyBorder="1" applyProtection="1"/>
    <xf numFmtId="170" fontId="4" fillId="0" borderId="38" xfId="0" applyNumberFormat="1" applyFont="1" applyBorder="1" applyProtection="1"/>
    <xf numFmtId="170" fontId="4" fillId="0" borderId="10" xfId="0" applyNumberFormat="1" applyFont="1" applyBorder="1" applyProtection="1"/>
    <xf numFmtId="15" fontId="7" fillId="0" borderId="0" xfId="0" applyFont="1"/>
    <xf numFmtId="15" fontId="37" fillId="0" borderId="0" xfId="0" applyFont="1"/>
    <xf numFmtId="170" fontId="4" fillId="0" borderId="23" xfId="0" applyNumberFormat="1" applyFont="1" applyFill="1" applyBorder="1"/>
    <xf numFmtId="170" fontId="29" fillId="0" borderId="11" xfId="0" applyNumberFormat="1" applyFont="1" applyBorder="1" applyProtection="1">
      <protection locked="0"/>
    </xf>
    <xf numFmtId="168" fontId="3" fillId="0" borderId="0" xfId="0" applyNumberFormat="1" applyFont="1" applyAlignment="1">
      <alignment vertical="center"/>
    </xf>
    <xf numFmtId="15" fontId="4" fillId="0" borderId="0" xfId="0" applyFont="1" applyFill="1"/>
    <xf numFmtId="15" fontId="0" fillId="0" borderId="6" xfId="0" applyNumberFormat="1" applyBorder="1" applyAlignment="1">
      <alignment horizontal="right"/>
    </xf>
    <xf numFmtId="170" fontId="4" fillId="0" borderId="55" xfId="0" applyNumberFormat="1" applyFont="1" applyBorder="1"/>
    <xf numFmtId="168" fontId="3" fillId="0" borderId="5" xfId="0" applyNumberFormat="1" applyFont="1" applyBorder="1" applyAlignment="1">
      <alignment vertical="center"/>
    </xf>
    <xf numFmtId="168" fontId="3" fillId="0" borderId="18" xfId="0" applyNumberFormat="1" applyFont="1" applyBorder="1" applyAlignment="1">
      <alignment vertical="center"/>
    </xf>
    <xf numFmtId="168" fontId="3" fillId="0" borderId="13" xfId="0" applyNumberFormat="1" applyFont="1" applyBorder="1" applyAlignment="1">
      <alignment vertical="center"/>
    </xf>
    <xf numFmtId="15" fontId="0" fillId="3" borderId="123" xfId="0" applyFont="1" applyFill="1" applyBorder="1" applyAlignment="1" applyProtection="1">
      <alignment horizontal="center"/>
      <protection locked="0"/>
    </xf>
    <xf numFmtId="8" fontId="0" fillId="3" borderId="129" xfId="0" applyNumberFormat="1" applyFont="1" applyFill="1" applyBorder="1" applyProtection="1">
      <protection locked="0"/>
    </xf>
    <xf numFmtId="15" fontId="0" fillId="3" borderId="168" xfId="0" applyFont="1" applyFill="1" applyBorder="1" applyAlignment="1" applyProtection="1">
      <alignment horizontal="center"/>
      <protection locked="0"/>
    </xf>
    <xf numFmtId="168" fontId="4" fillId="0" borderId="95" xfId="0" applyNumberFormat="1" applyFont="1" applyBorder="1" applyAlignment="1">
      <alignment horizontal="center" vertical="center"/>
    </xf>
    <xf numFmtId="170" fontId="4" fillId="3" borderId="86" xfId="0" applyNumberFormat="1" applyFont="1" applyFill="1" applyBorder="1" applyProtection="1">
      <protection locked="0"/>
    </xf>
    <xf numFmtId="15" fontId="4" fillId="3" borderId="124" xfId="0" applyFont="1" applyFill="1" applyBorder="1" applyAlignment="1" applyProtection="1">
      <alignment horizontal="center"/>
      <protection locked="0"/>
    </xf>
    <xf numFmtId="15" fontId="4" fillId="3" borderId="123" xfId="0" applyFont="1" applyFill="1" applyBorder="1" applyAlignment="1" applyProtection="1">
      <alignment horizontal="center"/>
      <protection locked="0"/>
    </xf>
    <xf numFmtId="15" fontId="0" fillId="3" borderId="170" xfId="0" applyNumberFormat="1" applyFill="1" applyBorder="1" applyAlignment="1" applyProtection="1">
      <alignment horizontal="center"/>
      <protection locked="0"/>
    </xf>
    <xf numFmtId="15" fontId="0" fillId="3" borderId="171" xfId="0" applyNumberFormat="1" applyFill="1" applyBorder="1" applyAlignment="1" applyProtection="1">
      <alignment horizontal="center"/>
      <protection locked="0"/>
    </xf>
    <xf numFmtId="15" fontId="0" fillId="3" borderId="123" xfId="0" applyFill="1" applyBorder="1" applyAlignment="1" applyProtection="1">
      <alignment horizontal="center"/>
      <protection locked="0"/>
    </xf>
    <xf numFmtId="15" fontId="0" fillId="3" borderId="126" xfId="0" applyFill="1" applyBorder="1" applyAlignment="1" applyProtection="1">
      <alignment horizontal="center"/>
      <protection locked="0"/>
    </xf>
    <xf numFmtId="169" fontId="44" fillId="0" borderId="172" xfId="21" quotePrefix="1" applyNumberFormat="1" applyFont="1" applyBorder="1" applyAlignment="1">
      <alignment horizontal="right" vertical="center" wrapText="1"/>
    </xf>
    <xf numFmtId="6" fontId="44" fillId="0" borderId="172" xfId="22" applyNumberFormat="1" applyFont="1" applyBorder="1" applyAlignment="1">
      <alignment horizontal="right" vertical="center"/>
    </xf>
    <xf numFmtId="169" fontId="44" fillId="0" borderId="172" xfId="21" applyNumberFormat="1" applyFont="1" applyBorder="1" applyAlignment="1">
      <alignment horizontal="right" vertical="center" wrapText="1"/>
    </xf>
    <xf numFmtId="168" fontId="4" fillId="0" borderId="26" xfId="0" applyNumberFormat="1" applyFont="1" applyBorder="1" applyAlignment="1">
      <alignment vertical="center"/>
    </xf>
    <xf numFmtId="168" fontId="4" fillId="0" borderId="173" xfId="0" applyNumberFormat="1" applyFont="1" applyBorder="1" applyAlignment="1">
      <alignment horizontal="right" vertical="center"/>
    </xf>
    <xf numFmtId="168" fontId="4" fillId="0" borderId="11" xfId="0" applyNumberFormat="1" applyFont="1" applyBorder="1" applyAlignment="1">
      <alignment horizontal="right" vertical="center"/>
    </xf>
    <xf numFmtId="168" fontId="0" fillId="0" borderId="22" xfId="0" applyNumberFormat="1" applyFont="1" applyBorder="1"/>
    <xf numFmtId="15" fontId="4" fillId="0" borderId="122" xfId="0" applyFont="1" applyBorder="1" applyAlignment="1" applyProtection="1">
      <alignment horizontal="center"/>
      <protection locked="0"/>
    </xf>
    <xf numFmtId="15" fontId="0" fillId="0" borderId="0" xfId="0" applyNumberFormat="1" applyFont="1"/>
    <xf numFmtId="15" fontId="0" fillId="0" borderId="0" xfId="0" applyFont="1" applyBorder="1"/>
    <xf numFmtId="3" fontId="0" fillId="0" borderId="165" xfId="0" applyNumberFormat="1" applyFont="1" applyBorder="1"/>
    <xf numFmtId="0" fontId="44" fillId="0" borderId="142" xfId="20" applyFont="1" applyBorder="1" applyAlignment="1">
      <alignment horizontal="center" vertical="top"/>
    </xf>
    <xf numFmtId="3" fontId="0" fillId="0" borderId="174" xfId="0" applyNumberFormat="1" applyFont="1" applyBorder="1"/>
    <xf numFmtId="3" fontId="0" fillId="0" borderId="164" xfId="0" applyNumberFormat="1" applyFont="1" applyBorder="1"/>
    <xf numFmtId="3" fontId="0" fillId="0" borderId="122" xfId="0" applyNumberFormat="1" applyFont="1" applyBorder="1"/>
    <xf numFmtId="15" fontId="0" fillId="0" borderId="0" xfId="0" applyFont="1"/>
    <xf numFmtId="15" fontId="0" fillId="0" borderId="0" xfId="0" applyFont="1" applyAlignment="1">
      <alignment wrapText="1"/>
    </xf>
    <xf numFmtId="3" fontId="0" fillId="0" borderId="142" xfId="0" applyNumberFormat="1" applyFont="1" applyBorder="1" applyAlignment="1">
      <alignment horizontal="center"/>
    </xf>
    <xf numFmtId="3" fontId="0" fillId="0" borderId="142" xfId="0" applyNumberFormat="1" applyFont="1" applyBorder="1"/>
    <xf numFmtId="15" fontId="0" fillId="3" borderId="9" xfId="0" applyFill="1" applyBorder="1" applyAlignment="1" applyProtection="1">
      <alignment horizontal="center"/>
      <protection locked="0"/>
    </xf>
    <xf numFmtId="170" fontId="0" fillId="3" borderId="114" xfId="0" applyNumberFormat="1" applyFill="1" applyBorder="1" applyAlignment="1" applyProtection="1">
      <alignment horizontal="left" wrapText="1"/>
      <protection locked="0"/>
    </xf>
    <xf numFmtId="170" fontId="0" fillId="0" borderId="52" xfId="0" applyNumberFormat="1" applyBorder="1"/>
    <xf numFmtId="168" fontId="0" fillId="3" borderId="155" xfId="0" applyNumberFormat="1" applyFill="1" applyBorder="1" applyProtection="1">
      <protection locked="0"/>
    </xf>
    <xf numFmtId="170" fontId="7" fillId="0" borderId="0" xfId="0" applyNumberFormat="1" applyFont="1"/>
    <xf numFmtId="15" fontId="0" fillId="3" borderId="131" xfId="0" applyFill="1" applyBorder="1" applyAlignment="1" applyProtection="1">
      <alignment horizontal="center"/>
      <protection locked="0"/>
    </xf>
    <xf numFmtId="0" fontId="7" fillId="0" borderId="44" xfId="22" applyFont="1" applyBorder="1" applyAlignment="1">
      <alignment vertical="center"/>
    </xf>
    <xf numFmtId="0" fontId="4" fillId="0" borderId="8" xfId="22" applyFont="1" applyBorder="1" applyAlignment="1">
      <alignment vertical="center"/>
    </xf>
    <xf numFmtId="168" fontId="4" fillId="0" borderId="109" xfId="0" applyNumberFormat="1" applyFont="1" applyBorder="1" applyAlignment="1">
      <alignment wrapText="1"/>
    </xf>
    <xf numFmtId="15" fontId="4" fillId="0" borderId="9" xfId="0" applyFont="1" applyFill="1" applyBorder="1" applyAlignment="1" applyProtection="1">
      <alignment horizontal="center"/>
      <protection locked="0"/>
    </xf>
    <xf numFmtId="167" fontId="4" fillId="0" borderId="10" xfId="0" applyNumberFormat="1" applyFont="1" applyFill="1" applyBorder="1" applyAlignment="1">
      <alignment horizontal="center"/>
    </xf>
    <xf numFmtId="1" fontId="4" fillId="0" borderId="10" xfId="0" applyNumberFormat="1" applyFont="1" applyFill="1" applyBorder="1" applyAlignment="1" applyProtection="1">
      <alignment horizontal="center"/>
      <protection locked="0"/>
    </xf>
    <xf numFmtId="1" fontId="4" fillId="0" borderId="31" xfId="0" applyNumberFormat="1" applyFont="1" applyFill="1" applyBorder="1" applyAlignment="1" applyProtection="1">
      <alignment horizontal="center"/>
      <protection locked="0"/>
    </xf>
    <xf numFmtId="167" fontId="4" fillId="0" borderId="10" xfId="0" applyNumberFormat="1" applyFont="1" applyFill="1" applyBorder="1"/>
    <xf numFmtId="1" fontId="4" fillId="0" borderId="10" xfId="0" applyNumberFormat="1" applyFont="1" applyFill="1" applyBorder="1"/>
    <xf numFmtId="15" fontId="4" fillId="0" borderId="10" xfId="0" applyFont="1" applyFill="1" applyBorder="1"/>
    <xf numFmtId="170" fontId="4" fillId="0" borderId="38" xfId="0" applyNumberFormat="1" applyFont="1" applyFill="1" applyBorder="1" applyProtection="1">
      <protection locked="0"/>
    </xf>
    <xf numFmtId="170" fontId="4" fillId="0" borderId="10" xfId="0" applyNumberFormat="1" applyFont="1" applyFill="1" applyBorder="1" applyProtection="1">
      <protection locked="0"/>
    </xf>
    <xf numFmtId="170" fontId="4" fillId="0" borderId="77" xfId="0" applyNumberFormat="1" applyFont="1" applyFill="1" applyBorder="1" applyProtection="1">
      <protection locked="0"/>
    </xf>
    <xf numFmtId="170" fontId="4" fillId="0" borderId="10" xfId="0" applyNumberFormat="1" applyFont="1" applyFill="1" applyBorder="1"/>
    <xf numFmtId="2" fontId="30" fillId="0" borderId="96" xfId="0" applyNumberFormat="1" applyFont="1" applyFill="1" applyBorder="1" applyAlignment="1">
      <alignment horizontal="center"/>
    </xf>
    <xf numFmtId="170" fontId="4" fillId="0" borderId="46" xfId="0" applyNumberFormat="1" applyFont="1" applyFill="1" applyBorder="1"/>
    <xf numFmtId="170" fontId="4" fillId="0" borderId="19" xfId="0" applyNumberFormat="1" applyFont="1" applyFill="1" applyBorder="1"/>
    <xf numFmtId="170" fontId="4" fillId="0" borderId="75" xfId="0" applyNumberFormat="1" applyFont="1" applyFill="1" applyBorder="1" applyProtection="1">
      <protection locked="0"/>
    </xf>
    <xf numFmtId="2" fontId="30" fillId="0" borderId="77" xfId="0" applyNumberFormat="1" applyFont="1" applyFill="1" applyBorder="1" applyAlignment="1">
      <alignment horizontal="center"/>
    </xf>
    <xf numFmtId="170" fontId="4" fillId="0" borderId="22" xfId="0" applyNumberFormat="1" applyFont="1" applyFill="1" applyBorder="1"/>
    <xf numFmtId="170" fontId="4" fillId="0" borderId="11" xfId="0" applyNumberFormat="1" applyFont="1" applyFill="1" applyBorder="1"/>
    <xf numFmtId="170" fontId="4" fillId="0" borderId="45" xfId="0" applyNumberFormat="1" applyFont="1" applyFill="1" applyBorder="1" applyProtection="1">
      <protection locked="0"/>
    </xf>
    <xf numFmtId="170" fontId="4" fillId="0" borderId="38" xfId="0" applyNumberFormat="1" applyFont="1" applyFill="1" applyBorder="1"/>
    <xf numFmtId="8" fontId="4" fillId="0" borderId="96" xfId="0" applyNumberFormat="1" applyFont="1" applyFill="1" applyBorder="1"/>
    <xf numFmtId="167" fontId="4" fillId="0" borderId="11" xfId="0" applyNumberFormat="1" applyFont="1" applyFill="1" applyBorder="1" applyAlignment="1">
      <alignment horizontal="center"/>
    </xf>
    <xf numFmtId="1" fontId="4" fillId="0" borderId="11" xfId="0" applyNumberFormat="1" applyFont="1" applyFill="1" applyBorder="1" applyAlignment="1" applyProtection="1">
      <alignment horizontal="center"/>
      <protection locked="0"/>
    </xf>
    <xf numFmtId="1" fontId="4" fillId="0" borderId="32" xfId="0" applyNumberFormat="1" applyFont="1" applyFill="1" applyBorder="1" applyAlignment="1" applyProtection="1">
      <alignment horizontal="center"/>
      <protection locked="0"/>
    </xf>
    <xf numFmtId="167" fontId="4" fillId="0" borderId="11" xfId="0" applyNumberFormat="1" applyFont="1" applyFill="1" applyBorder="1"/>
    <xf numFmtId="1" fontId="4" fillId="0" borderId="11" xfId="0" applyNumberFormat="1" applyFont="1" applyFill="1" applyBorder="1"/>
    <xf numFmtId="15" fontId="4" fillId="0" borderId="11" xfId="0" applyFont="1" applyFill="1" applyBorder="1"/>
    <xf numFmtId="170" fontId="4" fillId="0" borderId="22" xfId="0" applyNumberFormat="1" applyFont="1" applyFill="1" applyBorder="1" applyProtection="1">
      <protection locked="0"/>
    </xf>
    <xf numFmtId="170" fontId="4" fillId="0" borderId="11" xfId="0" applyNumberFormat="1" applyFont="1" applyFill="1" applyBorder="1" applyProtection="1">
      <protection locked="0"/>
    </xf>
    <xf numFmtId="170" fontId="4" fillId="0" borderId="51" xfId="0" applyNumberFormat="1" applyFont="1" applyFill="1" applyBorder="1" applyProtection="1">
      <protection locked="0"/>
    </xf>
    <xf numFmtId="2" fontId="30" fillId="0" borderId="97" xfId="0" applyNumberFormat="1" applyFont="1" applyFill="1" applyBorder="1" applyAlignment="1">
      <alignment horizontal="center"/>
    </xf>
    <xf numFmtId="170" fontId="4" fillId="0" borderId="14" xfId="0" applyNumberFormat="1" applyFont="1" applyFill="1" applyBorder="1"/>
    <xf numFmtId="170" fontId="4" fillId="0" borderId="12" xfId="0" applyNumberFormat="1" applyFont="1" applyFill="1" applyBorder="1" applyProtection="1">
      <protection locked="0"/>
    </xf>
    <xf numFmtId="2" fontId="30" fillId="0" borderId="51" xfId="0" applyNumberFormat="1" applyFont="1" applyFill="1" applyBorder="1" applyAlignment="1">
      <alignment horizontal="center"/>
    </xf>
    <xf numFmtId="170" fontId="4" fillId="0" borderId="46" xfId="0" applyNumberFormat="1" applyFont="1" applyFill="1" applyBorder="1" applyProtection="1">
      <protection locked="0"/>
    </xf>
    <xf numFmtId="15" fontId="4" fillId="0" borderId="163" xfId="0" applyFont="1" applyBorder="1" applyAlignment="1">
      <alignment horizontal="center"/>
    </xf>
    <xf numFmtId="1" fontId="4" fillId="0" borderId="24" xfId="0" applyNumberFormat="1" applyFont="1" applyBorder="1" applyAlignment="1">
      <alignment horizontal="center"/>
    </xf>
    <xf numFmtId="1" fontId="4" fillId="0" borderId="103" xfId="0" applyNumberFormat="1" applyFont="1" applyBorder="1" applyAlignment="1">
      <alignment horizontal="center"/>
    </xf>
    <xf numFmtId="167" fontId="4" fillId="2" borderId="24" xfId="0" applyNumberFormat="1" applyFont="1" applyFill="1" applyBorder="1"/>
    <xf numFmtId="1" fontId="4" fillId="2" borderId="24" xfId="0" applyNumberFormat="1" applyFont="1" applyFill="1" applyBorder="1"/>
    <xf numFmtId="170" fontId="4" fillId="0" borderId="105" xfId="0" applyNumberFormat="1" applyFont="1" applyBorder="1"/>
    <xf numFmtId="8" fontId="4" fillId="0" borderId="30" xfId="0" applyNumberFormat="1" applyFont="1" applyBorder="1"/>
    <xf numFmtId="8" fontId="4" fillId="0" borderId="29" xfId="0" applyNumberFormat="1" applyFont="1" applyBorder="1"/>
    <xf numFmtId="8" fontId="4" fillId="0" borderId="34" xfId="0" applyNumberFormat="1" applyFont="1" applyBorder="1"/>
    <xf numFmtId="1" fontId="35" fillId="3" borderId="175" xfId="0" applyNumberFormat="1" applyFont="1" applyFill="1" applyBorder="1" applyAlignment="1" applyProtection="1">
      <alignment horizontal="center"/>
      <protection locked="0"/>
    </xf>
    <xf numFmtId="15" fontId="4" fillId="0" borderId="10" xfId="0" applyFont="1" applyFill="1" applyBorder="1" applyAlignment="1" applyProtection="1">
      <alignment horizontal="center"/>
      <protection locked="0"/>
    </xf>
    <xf numFmtId="15" fontId="4" fillId="0" borderId="77" xfId="0" applyFont="1" applyFill="1" applyBorder="1"/>
    <xf numFmtId="170" fontId="4" fillId="0" borderId="90" xfId="0" applyNumberFormat="1" applyFont="1" applyFill="1" applyBorder="1"/>
    <xf numFmtId="2" fontId="30" fillId="0" borderId="31" xfId="0" applyNumberFormat="1" applyFont="1" applyFill="1" applyBorder="1" applyAlignment="1">
      <alignment horizontal="center"/>
    </xf>
    <xf numFmtId="170" fontId="4" fillId="0" borderId="45" xfId="0" applyNumberFormat="1" applyFont="1" applyFill="1" applyBorder="1"/>
    <xf numFmtId="170" fontId="4" fillId="0" borderId="77" xfId="0" applyNumberFormat="1" applyFont="1" applyFill="1" applyBorder="1"/>
    <xf numFmtId="15" fontId="3" fillId="0" borderId="0" xfId="0" applyFont="1" applyFill="1" applyBorder="1" applyAlignment="1">
      <alignment horizontal="left" wrapText="1"/>
    </xf>
    <xf numFmtId="15" fontId="4" fillId="0" borderId="0" xfId="0" applyFont="1" applyFill="1" applyBorder="1" applyAlignment="1">
      <alignment horizontal="center"/>
    </xf>
    <xf numFmtId="15" fontId="0" fillId="0" borderId="0" xfId="0" applyFont="1" applyFill="1" applyBorder="1" applyAlignment="1">
      <alignment horizontal="center"/>
    </xf>
    <xf numFmtId="15" fontId="0" fillId="0" borderId="0" xfId="0" applyFont="1" applyFill="1" applyBorder="1" applyAlignment="1">
      <alignment horizontal="right"/>
    </xf>
    <xf numFmtId="15" fontId="0" fillId="0" borderId="0" xfId="0" quotePrefix="1" applyFont="1" applyFill="1" applyBorder="1" applyAlignment="1">
      <alignment horizontal="center"/>
    </xf>
    <xf numFmtId="170" fontId="4" fillId="0" borderId="0" xfId="0" applyNumberFormat="1" applyFont="1" applyFill="1" applyBorder="1" applyAlignment="1" applyProtection="1">
      <alignment horizontal="left" wrapText="1"/>
      <protection locked="0"/>
    </xf>
    <xf numFmtId="170" fontId="4" fillId="0" borderId="0" xfId="0" applyNumberFormat="1" applyFont="1" applyFill="1" applyBorder="1" applyAlignment="1"/>
    <xf numFmtId="15" fontId="0" fillId="0" borderId="0" xfId="0" applyFill="1" applyBorder="1" applyAlignment="1"/>
    <xf numFmtId="170" fontId="0" fillId="0" borderId="0" xfId="0" applyNumberFormat="1" applyFon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right"/>
    </xf>
    <xf numFmtId="1" fontId="37" fillId="0" borderId="0" xfId="0" applyNumberFormat="1" applyFont="1" applyFill="1" applyBorder="1" applyAlignment="1" applyProtection="1">
      <alignment horizontal="center"/>
      <protection locked="0"/>
    </xf>
    <xf numFmtId="1" fontId="35" fillId="0" borderId="0" xfId="0" applyNumberFormat="1" applyFont="1" applyFill="1" applyBorder="1" applyAlignment="1" applyProtection="1">
      <alignment horizontal="center"/>
      <protection locked="0"/>
    </xf>
    <xf numFmtId="170" fontId="0" fillId="0" borderId="0" xfId="0" applyNumberFormat="1" applyFont="1" applyFill="1" applyBorder="1" applyAlignment="1" applyProtection="1">
      <alignment horizontal="left" wrapText="1"/>
      <protection locked="0"/>
    </xf>
    <xf numFmtId="15" fontId="0" fillId="0" borderId="0" xfId="0" applyFill="1" applyBorder="1" applyAlignment="1">
      <alignment wrapText="1"/>
    </xf>
    <xf numFmtId="0" fontId="4" fillId="5" borderId="8" xfId="22" applyFont="1" applyFill="1" applyBorder="1" applyAlignment="1">
      <alignment vertical="center" wrapText="1"/>
    </xf>
    <xf numFmtId="170" fontId="4" fillId="0" borderId="19" xfId="0" applyNumberFormat="1" applyFont="1" applyFill="1" applyBorder="1" applyProtection="1">
      <protection locked="0"/>
    </xf>
    <xf numFmtId="170" fontId="0" fillId="0" borderId="6" xfId="0" applyNumberFormat="1" applyBorder="1" applyAlignment="1">
      <alignment horizontal="right"/>
    </xf>
    <xf numFmtId="15" fontId="0" fillId="0" borderId="8" xfId="0" applyBorder="1" applyAlignment="1">
      <alignment horizontal="center"/>
    </xf>
    <xf numFmtId="176" fontId="0" fillId="0" borderId="8" xfId="0" applyNumberFormat="1" applyBorder="1" applyAlignment="1">
      <alignment horizontal="center"/>
    </xf>
    <xf numFmtId="15" fontId="0" fillId="3" borderId="125" xfId="0" applyNumberFormat="1" applyFill="1" applyBorder="1" applyAlignment="1" applyProtection="1">
      <alignment horizontal="left"/>
      <protection locked="0"/>
    </xf>
    <xf numFmtId="8" fontId="0" fillId="3" borderId="169" xfId="0" applyNumberFormat="1" applyFill="1" applyBorder="1" applyProtection="1">
      <protection locked="0"/>
    </xf>
    <xf numFmtId="168" fontId="4" fillId="4" borderId="105" xfId="0" applyNumberFormat="1" applyFont="1" applyFill="1" applyBorder="1" applyProtection="1">
      <protection locked="0"/>
    </xf>
    <xf numFmtId="168" fontId="4" fillId="0" borderId="103" xfId="0" applyNumberFormat="1" applyFont="1" applyBorder="1"/>
    <xf numFmtId="168" fontId="4" fillId="0" borderId="176" xfId="0" applyNumberFormat="1" applyFont="1" applyBorder="1" applyAlignment="1">
      <alignment wrapText="1"/>
    </xf>
    <xf numFmtId="168" fontId="0" fillId="0" borderId="176" xfId="0" applyNumberFormat="1" applyFont="1" applyBorder="1" applyAlignment="1">
      <alignment wrapText="1"/>
    </xf>
    <xf numFmtId="168" fontId="4" fillId="0" borderId="84" xfId="0" applyNumberFormat="1" applyFont="1" applyBorder="1" applyAlignment="1">
      <alignment wrapText="1"/>
    </xf>
    <xf numFmtId="168" fontId="3" fillId="0" borderId="49" xfId="0" applyNumberFormat="1" applyFont="1" applyBorder="1" applyAlignment="1">
      <alignment wrapText="1"/>
    </xf>
    <xf numFmtId="168" fontId="7" fillId="0" borderId="107" xfId="0" applyNumberFormat="1" applyFont="1" applyBorder="1" applyAlignment="1">
      <alignment wrapText="1"/>
    </xf>
    <xf numFmtId="170" fontId="4" fillId="3" borderId="177" xfId="0" applyNumberFormat="1" applyFont="1" applyFill="1" applyBorder="1" applyAlignment="1" applyProtection="1">
      <alignment horizontal="left" wrapText="1"/>
      <protection locked="0"/>
    </xf>
    <xf numFmtId="170" fontId="4" fillId="3" borderId="178" xfId="0" applyNumberFormat="1" applyFont="1" applyFill="1" applyBorder="1" applyProtection="1">
      <protection locked="0"/>
    </xf>
    <xf numFmtId="170" fontId="4" fillId="3" borderId="179" xfId="0" applyNumberFormat="1" applyFont="1" applyFill="1" applyBorder="1" applyProtection="1">
      <protection locked="0"/>
    </xf>
    <xf numFmtId="170" fontId="4" fillId="3" borderId="158" xfId="0" applyNumberFormat="1" applyFont="1" applyFill="1" applyBorder="1" applyProtection="1">
      <protection locked="0"/>
    </xf>
    <xf numFmtId="1" fontId="4" fillId="2" borderId="11" xfId="0" applyNumberFormat="1" applyFont="1" applyFill="1" applyBorder="1"/>
    <xf numFmtId="8" fontId="4" fillId="0" borderId="95" xfId="0" applyNumberFormat="1" applyFont="1" applyBorder="1"/>
    <xf numFmtId="170" fontId="4" fillId="0" borderId="77" xfId="0" applyNumberFormat="1" applyFont="1" applyBorder="1"/>
    <xf numFmtId="15" fontId="0" fillId="0" borderId="3" xfId="0" applyFill="1" applyBorder="1" applyAlignment="1" applyProtection="1">
      <alignment horizontal="center"/>
      <protection locked="0"/>
    </xf>
    <xf numFmtId="15" fontId="4" fillId="0" borderId="180" xfId="0" applyFont="1" applyBorder="1"/>
    <xf numFmtId="15" fontId="0" fillId="0" borderId="0" xfId="0" applyAlignment="1">
      <alignment vertical="center"/>
    </xf>
    <xf numFmtId="170" fontId="4" fillId="3" borderId="181" xfId="0" applyNumberFormat="1" applyFont="1" applyFill="1" applyBorder="1" applyAlignment="1" applyProtection="1">
      <alignment horizontal="left" wrapText="1"/>
      <protection locked="0"/>
    </xf>
    <xf numFmtId="170" fontId="4" fillId="3" borderId="153" xfId="0" applyNumberFormat="1" applyFont="1" applyFill="1" applyBorder="1" applyProtection="1">
      <protection locked="0"/>
    </xf>
    <xf numFmtId="170" fontId="4" fillId="3" borderId="182" xfId="0" applyNumberFormat="1" applyFont="1" applyFill="1" applyBorder="1" applyProtection="1">
      <protection locked="0"/>
    </xf>
    <xf numFmtId="170" fontId="4" fillId="3" borderId="183" xfId="0" applyNumberFormat="1" applyFont="1" applyFill="1" applyBorder="1" applyProtection="1">
      <protection locked="0"/>
    </xf>
    <xf numFmtId="170" fontId="4" fillId="0" borderId="153" xfId="0" applyNumberFormat="1" applyFont="1" applyBorder="1" applyProtection="1">
      <protection locked="0"/>
    </xf>
    <xf numFmtId="170" fontId="4" fillId="0" borderId="184" xfId="0" applyNumberFormat="1" applyFont="1" applyBorder="1" applyProtection="1">
      <protection locked="0"/>
    </xf>
    <xf numFmtId="170" fontId="4" fillId="0" borderId="130" xfId="0" applyNumberFormat="1" applyFont="1" applyBorder="1" applyProtection="1">
      <protection locked="0"/>
    </xf>
    <xf numFmtId="15" fontId="0" fillId="0" borderId="183" xfId="0" applyBorder="1" applyProtection="1">
      <protection locked="0"/>
    </xf>
    <xf numFmtId="0" fontId="44" fillId="0" borderId="8" xfId="21" applyFont="1" applyFill="1" applyBorder="1" applyAlignment="1">
      <alignment vertical="center"/>
    </xf>
    <xf numFmtId="168" fontId="7" fillId="0" borderId="176" xfId="0" applyNumberFormat="1" applyFont="1" applyBorder="1" applyAlignment="1">
      <alignment wrapText="1"/>
    </xf>
    <xf numFmtId="168" fontId="19" fillId="2" borderId="0" xfId="0" applyNumberFormat="1" applyFont="1" applyFill="1" applyBorder="1" applyAlignment="1">
      <alignment vertical="center"/>
    </xf>
    <xf numFmtId="1" fontId="19" fillId="2" borderId="0" xfId="0" applyNumberFormat="1" applyFont="1" applyFill="1" applyBorder="1" applyAlignment="1">
      <alignment vertical="center"/>
    </xf>
    <xf numFmtId="168" fontId="5" fillId="2" borderId="0" xfId="0" applyNumberFormat="1" applyFont="1" applyFill="1" applyBorder="1" applyAlignment="1">
      <alignment vertical="center"/>
    </xf>
    <xf numFmtId="167" fontId="5" fillId="2" borderId="0" xfId="0" applyNumberFormat="1" applyFont="1" applyFill="1" applyBorder="1" applyAlignment="1">
      <alignment horizontal="center" vertical="center"/>
    </xf>
    <xf numFmtId="168" fontId="4" fillId="2" borderId="0" xfId="0" applyNumberFormat="1" applyFont="1" applyFill="1" applyAlignment="1">
      <alignment vertical="center"/>
    </xf>
    <xf numFmtId="168" fontId="20" fillId="2" borderId="0" xfId="0" applyNumberFormat="1" applyFont="1" applyFill="1" applyAlignment="1">
      <alignment vertical="center"/>
    </xf>
    <xf numFmtId="168" fontId="21" fillId="2" borderId="0" xfId="0" applyNumberFormat="1" applyFont="1" applyFill="1" applyAlignment="1">
      <alignment vertical="center"/>
    </xf>
    <xf numFmtId="9" fontId="19" fillId="2" borderId="0" xfId="0" applyNumberFormat="1" applyFont="1" applyFill="1" applyBorder="1" applyAlignment="1">
      <alignment vertical="center"/>
    </xf>
    <xf numFmtId="168" fontId="33" fillId="2" borderId="0" xfId="0" applyNumberFormat="1" applyFont="1" applyFill="1" applyAlignment="1">
      <alignment vertical="center"/>
    </xf>
    <xf numFmtId="15" fontId="33" fillId="2" borderId="0" xfId="0" applyNumberFormat="1" applyFont="1" applyFill="1" applyAlignment="1">
      <alignment vertical="center"/>
    </xf>
    <xf numFmtId="168" fontId="22" fillId="0" borderId="0" xfId="0" applyNumberFormat="1" applyFont="1" applyBorder="1" applyAlignment="1">
      <alignment vertical="center"/>
    </xf>
    <xf numFmtId="1" fontId="19" fillId="0" borderId="0" xfId="0" applyNumberFormat="1" applyFont="1" applyBorder="1" applyAlignment="1">
      <alignment vertical="center"/>
    </xf>
    <xf numFmtId="168" fontId="5" fillId="0" borderId="0" xfId="0" applyNumberFormat="1" applyFont="1" applyBorder="1" applyAlignment="1">
      <alignment vertical="center"/>
    </xf>
    <xf numFmtId="167" fontId="5" fillId="0" borderId="0" xfId="0" applyNumberFormat="1" applyFont="1" applyBorder="1" applyAlignment="1">
      <alignment horizontal="center" vertical="center"/>
    </xf>
    <xf numFmtId="168" fontId="20" fillId="0" borderId="0" xfId="0" applyNumberFormat="1" applyFont="1" applyAlignment="1">
      <alignment vertical="center"/>
    </xf>
    <xf numFmtId="9" fontId="24" fillId="0" borderId="0" xfId="0" applyNumberFormat="1" applyFont="1" applyBorder="1" applyAlignment="1">
      <alignment vertical="center"/>
    </xf>
    <xf numFmtId="168" fontId="9" fillId="0" borderId="0" xfId="0" applyNumberFormat="1" applyFont="1" applyAlignment="1">
      <alignment vertical="center"/>
    </xf>
    <xf numFmtId="15" fontId="9" fillId="0" borderId="0" xfId="0" applyNumberFormat="1" applyFont="1" applyAlignment="1">
      <alignment vertical="center"/>
    </xf>
    <xf numFmtId="172" fontId="23" fillId="0" borderId="0" xfId="0" applyNumberFormat="1" applyFont="1" applyAlignment="1">
      <alignment horizontal="right" vertical="center"/>
    </xf>
    <xf numFmtId="168" fontId="26" fillId="0" borderId="0" xfId="0" applyNumberFormat="1" applyFont="1" applyAlignment="1">
      <alignment vertical="center"/>
    </xf>
    <xf numFmtId="168" fontId="15" fillId="0" borderId="0" xfId="0" applyNumberFormat="1" applyFont="1" applyAlignment="1">
      <alignment vertical="center"/>
    </xf>
    <xf numFmtId="168" fontId="14" fillId="0" borderId="0" xfId="0" applyNumberFormat="1" applyFont="1" applyAlignment="1">
      <alignment vertical="center"/>
    </xf>
    <xf numFmtId="168" fontId="5" fillId="0" borderId="0" xfId="0" applyNumberFormat="1" applyFont="1" applyAlignment="1">
      <alignment vertical="center"/>
    </xf>
    <xf numFmtId="168" fontId="4" fillId="0" borderId="44" xfId="0" applyNumberFormat="1" applyFont="1" applyBorder="1" applyAlignment="1">
      <alignment vertical="center"/>
    </xf>
    <xf numFmtId="168" fontId="4" fillId="0" borderId="4" xfId="0" applyNumberFormat="1" applyFont="1" applyBorder="1" applyAlignment="1">
      <alignment vertical="center"/>
    </xf>
    <xf numFmtId="15" fontId="4" fillId="0" borderId="2" xfId="0" applyNumberFormat="1" applyFont="1" applyBorder="1" applyAlignment="1">
      <alignment vertical="center"/>
    </xf>
    <xf numFmtId="8" fontId="4" fillId="0" borderId="4" xfId="0" applyNumberFormat="1" applyFont="1" applyBorder="1" applyAlignment="1">
      <alignment vertical="center"/>
    </xf>
    <xf numFmtId="168" fontId="7" fillId="0" borderId="0" xfId="0" applyNumberFormat="1" applyFont="1" applyAlignment="1">
      <alignment vertical="center"/>
    </xf>
    <xf numFmtId="168" fontId="42" fillId="0" borderId="0" xfId="0" applyNumberFormat="1" applyFont="1" applyAlignment="1">
      <alignment horizontal="right" vertical="center"/>
    </xf>
    <xf numFmtId="168" fontId="6" fillId="0" borderId="185" xfId="0" applyNumberFormat="1" applyFont="1" applyBorder="1" applyAlignment="1">
      <alignment vertical="center"/>
    </xf>
    <xf numFmtId="8" fontId="4" fillId="0" borderId="5" xfId="0" applyNumberFormat="1" applyFont="1" applyBorder="1" applyAlignment="1">
      <alignment vertical="center"/>
    </xf>
    <xf numFmtId="168" fontId="4" fillId="0" borderId="0" xfId="0" applyNumberFormat="1" applyFont="1" applyAlignment="1">
      <alignment horizontal="left" vertical="center"/>
    </xf>
    <xf numFmtId="168" fontId="6" fillId="0" borderId="0" xfId="0" applyNumberFormat="1" applyFont="1" applyAlignment="1">
      <alignment horizontal="left" vertical="center"/>
    </xf>
    <xf numFmtId="168" fontId="5" fillId="0" borderId="185" xfId="0" applyNumberFormat="1" applyFont="1" applyBorder="1" applyAlignment="1">
      <alignment vertical="center"/>
    </xf>
    <xf numFmtId="168" fontId="4" fillId="0" borderId="186" xfId="0" applyNumberFormat="1" applyFont="1" applyBorder="1" applyAlignment="1">
      <alignment vertical="center"/>
    </xf>
    <xf numFmtId="168" fontId="4" fillId="0" borderId="20" xfId="0" applyNumberFormat="1" applyFont="1" applyBorder="1" applyAlignment="1">
      <alignment vertical="center"/>
    </xf>
    <xf numFmtId="8" fontId="4" fillId="0" borderId="74" xfId="0" applyNumberFormat="1" applyFont="1" applyBorder="1" applyAlignment="1">
      <alignment vertical="center"/>
    </xf>
    <xf numFmtId="168" fontId="4" fillId="0" borderId="0" xfId="0" applyNumberFormat="1" applyFont="1" applyBorder="1" applyAlignment="1">
      <alignment vertical="center"/>
    </xf>
    <xf numFmtId="168" fontId="4" fillId="0" borderId="8" xfId="0" applyNumberFormat="1" applyFont="1" applyBorder="1" applyAlignment="1">
      <alignment horizontal="left" vertical="center"/>
    </xf>
    <xf numFmtId="168" fontId="0" fillId="0" borderId="0" xfId="0" applyNumberFormat="1" applyFont="1" applyAlignment="1">
      <alignment vertical="center"/>
    </xf>
    <xf numFmtId="168" fontId="9" fillId="0" borderId="0" xfId="0" applyNumberFormat="1" applyFont="1" applyBorder="1" applyAlignment="1">
      <alignment vertical="center"/>
    </xf>
    <xf numFmtId="8" fontId="5" fillId="0" borderId="187" xfId="0" applyNumberFormat="1" applyFont="1" applyBorder="1" applyAlignment="1">
      <alignment vertical="center"/>
    </xf>
    <xf numFmtId="168" fontId="18" fillId="0" borderId="0" xfId="0" applyNumberFormat="1" applyFont="1" applyAlignment="1">
      <alignment vertical="center"/>
    </xf>
    <xf numFmtId="15" fontId="44" fillId="0" borderId="8" xfId="0" applyFont="1" applyBorder="1" applyAlignment="1">
      <alignment vertical="center"/>
    </xf>
    <xf numFmtId="3" fontId="4" fillId="0" borderId="0" xfId="0" quotePrefix="1" applyNumberFormat="1" applyFont="1" applyAlignment="1">
      <alignment vertical="center"/>
    </xf>
    <xf numFmtId="168" fontId="4" fillId="0" borderId="5" xfId="0" applyNumberFormat="1" applyFont="1" applyBorder="1" applyAlignment="1">
      <alignment vertical="center"/>
    </xf>
    <xf numFmtId="168" fontId="3" fillId="0" borderId="57" xfId="0" applyNumberFormat="1" applyFont="1" applyBorder="1" applyAlignment="1">
      <alignment vertical="center"/>
    </xf>
    <xf numFmtId="168" fontId="4" fillId="0" borderId="57" xfId="0" applyNumberFormat="1" applyFont="1" applyBorder="1" applyAlignment="1">
      <alignment vertical="center"/>
    </xf>
    <xf numFmtId="168" fontId="4" fillId="0" borderId="64" xfId="0" applyNumberFormat="1" applyFont="1" applyBorder="1" applyAlignment="1">
      <alignment vertical="center"/>
    </xf>
    <xf numFmtId="168" fontId="4" fillId="0" borderId="1" xfId="0" applyNumberFormat="1" applyFont="1" applyBorder="1" applyAlignment="1">
      <alignment vertical="center"/>
    </xf>
    <xf numFmtId="168" fontId="4" fillId="0" borderId="73" xfId="0" applyNumberFormat="1" applyFont="1" applyBorder="1" applyAlignment="1">
      <alignment vertical="center"/>
    </xf>
    <xf numFmtId="168" fontId="6" fillId="0" borderId="0" xfId="0" applyNumberFormat="1" applyFont="1" applyBorder="1" applyAlignment="1">
      <alignment horizontal="left" vertical="center"/>
    </xf>
    <xf numFmtId="168" fontId="6" fillId="0" borderId="188" xfId="0" applyNumberFormat="1" applyFont="1" applyBorder="1" applyAlignment="1">
      <alignment vertical="center"/>
    </xf>
    <xf numFmtId="168" fontId="0" fillId="0" borderId="102" xfId="0" applyNumberFormat="1" applyBorder="1" applyAlignment="1">
      <alignment vertical="center"/>
    </xf>
    <xf numFmtId="168" fontId="4" fillId="0" borderId="52" xfId="0" applyNumberFormat="1" applyFont="1" applyBorder="1" applyAlignment="1">
      <alignment vertical="center"/>
    </xf>
    <xf numFmtId="8" fontId="4" fillId="0" borderId="78" xfId="0" applyNumberFormat="1" applyFont="1" applyBorder="1" applyAlignment="1">
      <alignment vertical="center"/>
    </xf>
    <xf numFmtId="8" fontId="4" fillId="0" borderId="5" xfId="0" quotePrefix="1" applyNumberFormat="1" applyFont="1" applyBorder="1" applyAlignment="1">
      <alignment vertical="center"/>
    </xf>
    <xf numFmtId="168" fontId="4" fillId="0" borderId="183" xfId="0" applyNumberFormat="1" applyFont="1" applyBorder="1" applyAlignment="1">
      <alignment vertical="center"/>
    </xf>
    <xf numFmtId="168" fontId="4" fillId="0" borderId="15" xfId="0" applyNumberFormat="1" applyFont="1" applyBorder="1" applyAlignment="1">
      <alignment vertical="center"/>
    </xf>
    <xf numFmtId="168" fontId="4" fillId="0" borderId="16" xfId="0" applyNumberFormat="1" applyFont="1" applyBorder="1" applyAlignment="1">
      <alignment vertical="center"/>
    </xf>
    <xf numFmtId="168" fontId="4" fillId="0" borderId="17" xfId="0" applyNumberFormat="1" applyFont="1" applyBorder="1" applyAlignment="1">
      <alignment vertical="center"/>
    </xf>
    <xf numFmtId="168" fontId="4" fillId="0" borderId="0" xfId="0" quotePrefix="1" applyNumberFormat="1" applyFont="1" applyAlignment="1">
      <alignment vertical="center"/>
    </xf>
    <xf numFmtId="173" fontId="4" fillId="0" borderId="0" xfId="0" applyNumberFormat="1" applyFont="1" applyAlignment="1">
      <alignment vertical="center"/>
    </xf>
    <xf numFmtId="3" fontId="31" fillId="0" borderId="0" xfId="0" quotePrefix="1" applyNumberFormat="1" applyFont="1" applyAlignment="1">
      <alignment horizontal="left" vertical="center"/>
    </xf>
    <xf numFmtId="3" fontId="4" fillId="0" borderId="0" xfId="0" applyNumberFormat="1" applyFont="1" applyAlignment="1">
      <alignment vertical="center"/>
    </xf>
    <xf numFmtId="8" fontId="4" fillId="0" borderId="5" xfId="0" applyNumberFormat="1" applyFont="1" applyBorder="1" applyAlignment="1">
      <alignment horizontal="right" vertical="center"/>
    </xf>
    <xf numFmtId="168" fontId="45" fillId="0" borderId="158" xfId="0" applyNumberFormat="1" applyFont="1" applyBorder="1" applyAlignment="1">
      <alignment vertical="center"/>
    </xf>
    <xf numFmtId="168" fontId="8" fillId="0" borderId="158" xfId="0" applyNumberFormat="1" applyFont="1" applyBorder="1" applyAlignment="1">
      <alignment vertical="center"/>
    </xf>
    <xf numFmtId="168" fontId="8" fillId="0" borderId="0" xfId="0" applyNumberFormat="1" applyFont="1" applyBorder="1" applyAlignment="1">
      <alignment vertical="center"/>
    </xf>
    <xf numFmtId="168" fontId="4" fillId="0" borderId="7" xfId="0" applyNumberFormat="1" applyFont="1" applyBorder="1" applyAlignment="1">
      <alignment vertical="center"/>
    </xf>
    <xf numFmtId="168" fontId="8" fillId="0" borderId="183" xfId="0" applyNumberFormat="1" applyFont="1" applyBorder="1" applyAlignment="1">
      <alignment vertical="center"/>
    </xf>
    <xf numFmtId="1" fontId="4" fillId="0" borderId="8" xfId="0" quotePrefix="1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168" fontId="7" fillId="0" borderId="0" xfId="0" quotePrefix="1" applyNumberFormat="1" applyFont="1" applyAlignment="1">
      <alignment vertical="center"/>
    </xf>
    <xf numFmtId="168" fontId="4" fillId="0" borderId="189" xfId="0" applyNumberFormat="1" applyFont="1" applyBorder="1" applyAlignment="1">
      <alignment vertical="center"/>
    </xf>
    <xf numFmtId="168" fontId="4" fillId="0" borderId="18" xfId="0" applyNumberFormat="1" applyFont="1" applyBorder="1" applyAlignment="1">
      <alignment vertical="center"/>
    </xf>
    <xf numFmtId="1" fontId="4" fillId="0" borderId="189" xfId="0" quotePrefix="1" applyNumberFormat="1" applyFont="1" applyBorder="1" applyAlignment="1">
      <alignment vertical="center"/>
    </xf>
    <xf numFmtId="3" fontId="4" fillId="0" borderId="49" xfId="0" applyNumberFormat="1" applyFont="1" applyBorder="1" applyAlignment="1">
      <alignment vertical="center"/>
    </xf>
    <xf numFmtId="8" fontId="4" fillId="0" borderId="56" xfId="0" applyNumberFormat="1" applyFont="1" applyBorder="1" applyAlignment="1">
      <alignment vertical="center"/>
    </xf>
    <xf numFmtId="168" fontId="4" fillId="0" borderId="0" xfId="0" applyNumberFormat="1" applyFont="1" applyAlignment="1">
      <alignment horizontal="right" vertical="center"/>
    </xf>
    <xf numFmtId="168" fontId="4" fillId="0" borderId="3" xfId="0" applyNumberFormat="1" applyFont="1" applyBorder="1" applyAlignment="1">
      <alignment vertical="center"/>
    </xf>
    <xf numFmtId="168" fontId="4" fillId="0" borderId="190" xfId="0" applyNumberFormat="1" applyFont="1" applyBorder="1" applyAlignment="1">
      <alignment vertical="center"/>
    </xf>
    <xf numFmtId="168" fontId="6" fillId="0" borderId="0" xfId="0" applyNumberFormat="1" applyFont="1" applyAlignment="1">
      <alignment vertical="center"/>
    </xf>
    <xf numFmtId="168" fontId="0" fillId="0" borderId="44" xfId="0" applyNumberFormat="1" applyFont="1" applyBorder="1" applyAlignment="1">
      <alignment vertical="center"/>
    </xf>
    <xf numFmtId="8" fontId="4" fillId="0" borderId="14" xfId="0" applyNumberFormat="1" applyFont="1" applyBorder="1" applyAlignment="1">
      <alignment vertical="center"/>
    </xf>
    <xf numFmtId="168" fontId="4" fillId="0" borderId="14" xfId="0" applyNumberFormat="1" applyFont="1" applyBorder="1" applyAlignment="1">
      <alignment vertical="center"/>
    </xf>
    <xf numFmtId="8" fontId="4" fillId="0" borderId="11" xfId="0" applyNumberFormat="1" applyFont="1" applyBorder="1" applyAlignment="1">
      <alignment vertical="center"/>
    </xf>
    <xf numFmtId="168" fontId="4" fillId="0" borderId="74" xfId="0" quotePrefix="1" applyNumberFormat="1" applyFont="1" applyBorder="1" applyAlignment="1">
      <alignment horizontal="right" vertical="center"/>
    </xf>
    <xf numFmtId="168" fontId="4" fillId="0" borderId="11" xfId="0" applyNumberFormat="1" applyFont="1" applyBorder="1" applyAlignment="1">
      <alignment vertical="center"/>
    </xf>
    <xf numFmtId="168" fontId="4" fillId="0" borderId="5" xfId="0" applyNumberFormat="1" applyFont="1" applyBorder="1" applyAlignment="1">
      <alignment horizontal="right" vertical="center"/>
    </xf>
    <xf numFmtId="174" fontId="4" fillId="0" borderId="0" xfId="0" applyNumberFormat="1" applyFont="1" applyAlignment="1">
      <alignment vertical="center"/>
    </xf>
    <xf numFmtId="168" fontId="4" fillId="0" borderId="191" xfId="0" quotePrefix="1" applyNumberFormat="1" applyFont="1" applyBorder="1" applyAlignment="1">
      <alignment vertical="center"/>
    </xf>
    <xf numFmtId="168" fontId="4" fillId="0" borderId="192" xfId="0" quotePrefix="1" applyNumberFormat="1" applyFont="1" applyBorder="1" applyAlignment="1">
      <alignment vertical="center"/>
    </xf>
    <xf numFmtId="168" fontId="4" fillId="0" borderId="65" xfId="0" applyNumberFormat="1" applyFont="1" applyBorder="1" applyAlignment="1">
      <alignment vertical="center"/>
    </xf>
    <xf numFmtId="168" fontId="4" fillId="0" borderId="42" xfId="0" applyNumberFormat="1" applyFont="1" applyBorder="1" applyAlignment="1">
      <alignment vertical="center"/>
    </xf>
    <xf numFmtId="168" fontId="4" fillId="0" borderId="12" xfId="0" applyNumberFormat="1" applyFont="1" applyBorder="1" applyAlignment="1">
      <alignment vertical="center"/>
    </xf>
    <xf numFmtId="8" fontId="4" fillId="0" borderId="12" xfId="0" applyNumberFormat="1" applyFont="1" applyBorder="1" applyAlignment="1">
      <alignment vertical="center"/>
    </xf>
    <xf numFmtId="168" fontId="4" fillId="0" borderId="84" xfId="0" applyNumberFormat="1" applyFont="1" applyBorder="1" applyAlignment="1">
      <alignment vertical="center"/>
    </xf>
    <xf numFmtId="1" fontId="10" fillId="0" borderId="0" xfId="0" applyNumberFormat="1" applyFont="1" applyAlignment="1">
      <alignment horizontal="right" vertical="center"/>
    </xf>
    <xf numFmtId="168" fontId="4" fillId="0" borderId="22" xfId="0" applyNumberFormat="1" applyFont="1" applyBorder="1" applyAlignment="1">
      <alignment vertical="center"/>
    </xf>
    <xf numFmtId="8" fontId="4" fillId="0" borderId="22" xfId="0" applyNumberFormat="1" applyFont="1" applyBorder="1" applyAlignment="1">
      <alignment vertical="center"/>
    </xf>
    <xf numFmtId="168" fontId="9" fillId="0" borderId="0" xfId="0" applyNumberFormat="1" applyFont="1" applyAlignment="1">
      <alignment horizontal="left" vertical="center"/>
    </xf>
    <xf numFmtId="168" fontId="4" fillId="0" borderId="24" xfId="0" applyNumberFormat="1" applyFont="1" applyBorder="1" applyAlignment="1">
      <alignment vertical="center"/>
    </xf>
    <xf numFmtId="168" fontId="4" fillId="0" borderId="67" xfId="0" applyNumberFormat="1" applyFont="1" applyBorder="1" applyAlignment="1">
      <alignment vertical="center"/>
    </xf>
    <xf numFmtId="8" fontId="4" fillId="0" borderId="26" xfId="0" applyNumberFormat="1" applyFont="1" applyBorder="1" applyAlignment="1">
      <alignment vertical="center"/>
    </xf>
    <xf numFmtId="168" fontId="4" fillId="0" borderId="56" xfId="0" applyNumberFormat="1" applyFont="1" applyBorder="1" applyAlignment="1">
      <alignment vertical="center"/>
    </xf>
    <xf numFmtId="168" fontId="16" fillId="0" borderId="0" xfId="0" applyNumberFormat="1" applyFont="1" applyAlignment="1">
      <alignment vertical="center"/>
    </xf>
    <xf numFmtId="168" fontId="4" fillId="0" borderId="58" xfId="0" applyNumberFormat="1" applyFont="1" applyBorder="1" applyAlignment="1">
      <alignment vertical="center"/>
    </xf>
    <xf numFmtId="168" fontId="4" fillId="0" borderId="74" xfId="0" applyNumberFormat="1" applyFont="1" applyBorder="1" applyAlignment="1">
      <alignment horizontal="right" vertical="center"/>
    </xf>
    <xf numFmtId="169" fontId="9" fillId="0" borderId="0" xfId="0" applyNumberFormat="1" applyFont="1" applyAlignment="1">
      <alignment vertical="center"/>
    </xf>
    <xf numFmtId="168" fontId="12" fillId="0" borderId="0" xfId="0" applyNumberFormat="1" applyFont="1" applyAlignment="1">
      <alignment vertical="center"/>
    </xf>
    <xf numFmtId="168" fontId="4" fillId="0" borderId="193" xfId="0" applyNumberFormat="1" applyFont="1" applyBorder="1" applyAlignment="1">
      <alignment vertical="center"/>
    </xf>
    <xf numFmtId="168" fontId="4" fillId="0" borderId="58" xfId="0" quotePrefix="1" applyNumberFormat="1" applyFont="1" applyBorder="1" applyAlignment="1">
      <alignment vertical="center"/>
    </xf>
    <xf numFmtId="169" fontId="8" fillId="0" borderId="0" xfId="0" applyNumberFormat="1" applyFont="1" applyAlignment="1">
      <alignment vertical="center"/>
    </xf>
    <xf numFmtId="168" fontId="4" fillId="0" borderId="10" xfId="0" applyNumberFormat="1" applyFont="1" applyBorder="1" applyAlignment="1">
      <alignment vertical="center"/>
    </xf>
    <xf numFmtId="168" fontId="4" fillId="0" borderId="5" xfId="0" quotePrefix="1" applyNumberFormat="1" applyFont="1" applyBorder="1" applyAlignment="1">
      <alignment horizontal="right" vertical="center"/>
    </xf>
    <xf numFmtId="168" fontId="9" fillId="0" borderId="0" xfId="0" applyNumberFormat="1" applyFont="1" applyAlignment="1">
      <alignment horizontal="right" vertical="center"/>
    </xf>
    <xf numFmtId="168" fontId="4" fillId="0" borderId="192" xfId="0" applyNumberFormat="1" applyFont="1" applyBorder="1" applyAlignment="1">
      <alignment vertical="center"/>
    </xf>
    <xf numFmtId="168" fontId="4" fillId="0" borderId="194" xfId="0" quotePrefix="1" applyNumberFormat="1" applyFont="1" applyBorder="1" applyAlignment="1">
      <alignment vertical="center"/>
    </xf>
    <xf numFmtId="168" fontId="4" fillId="0" borderId="191" xfId="0" applyNumberFormat="1" applyFont="1" applyBorder="1" applyAlignment="1">
      <alignment vertical="center"/>
    </xf>
    <xf numFmtId="168" fontId="4" fillId="0" borderId="5" xfId="0" applyNumberFormat="1" applyFont="1" applyBorder="1" applyAlignment="1">
      <alignment horizontal="left" vertical="center"/>
    </xf>
    <xf numFmtId="168" fontId="4" fillId="0" borderId="121" xfId="0" applyNumberFormat="1" applyFont="1" applyBorder="1" applyAlignment="1">
      <alignment vertical="center"/>
    </xf>
    <xf numFmtId="168" fontId="4" fillId="0" borderId="56" xfId="0" applyNumberFormat="1" applyFont="1" applyBorder="1" applyAlignment="1">
      <alignment horizontal="left" vertical="center"/>
    </xf>
    <xf numFmtId="168" fontId="13" fillId="0" borderId="0" xfId="0" applyNumberFormat="1" applyFont="1" applyAlignment="1">
      <alignment vertical="center"/>
    </xf>
    <xf numFmtId="8" fontId="4" fillId="0" borderId="195" xfId="0" applyNumberFormat="1" applyFont="1" applyBorder="1" applyAlignment="1">
      <alignment vertical="center"/>
    </xf>
    <xf numFmtId="168" fontId="4" fillId="0" borderId="195" xfId="0" applyNumberFormat="1" applyFont="1" applyBorder="1" applyAlignment="1">
      <alignment vertical="center"/>
    </xf>
    <xf numFmtId="168" fontId="8" fillId="0" borderId="0" xfId="0" applyNumberFormat="1" applyFont="1" applyAlignment="1">
      <alignment vertical="center"/>
    </xf>
    <xf numFmtId="8" fontId="9" fillId="0" borderId="0" xfId="0" applyNumberFormat="1" applyFont="1" applyAlignment="1">
      <alignment vertical="center"/>
    </xf>
    <xf numFmtId="168" fontId="4" fillId="0" borderId="11" xfId="0" quotePrefix="1" applyNumberFormat="1" applyFont="1" applyBorder="1" applyAlignment="1">
      <alignment vertical="center"/>
    </xf>
    <xf numFmtId="168" fontId="0" fillId="0" borderId="195" xfId="0" applyNumberFormat="1" applyBorder="1" applyAlignment="1">
      <alignment vertical="center"/>
    </xf>
    <xf numFmtId="168" fontId="4" fillId="0" borderId="6" xfId="0" applyNumberFormat="1" applyFont="1" applyBorder="1" applyAlignment="1">
      <alignment vertical="center"/>
    </xf>
    <xf numFmtId="168" fontId="18" fillId="0" borderId="0" xfId="0" applyNumberFormat="1" applyFont="1" applyAlignment="1">
      <alignment horizontal="center" vertical="center"/>
    </xf>
    <xf numFmtId="8" fontId="4" fillId="0" borderId="196" xfId="0" quotePrefix="1" applyNumberFormat="1" applyFont="1" applyBorder="1" applyAlignment="1">
      <alignment vertical="center"/>
    </xf>
    <xf numFmtId="8" fontId="4" fillId="0" borderId="72" xfId="0" applyNumberFormat="1" applyFont="1" applyBorder="1" applyAlignment="1">
      <alignment vertical="center"/>
    </xf>
    <xf numFmtId="168" fontId="18" fillId="0" borderId="0" xfId="0" applyNumberFormat="1" applyFont="1" applyAlignment="1">
      <alignment horizontal="right" vertical="center"/>
    </xf>
    <xf numFmtId="168" fontId="28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168" fontId="10" fillId="0" borderId="0" xfId="0" applyNumberFormat="1" applyFont="1" applyAlignment="1">
      <alignment horizontal="right" vertical="center"/>
    </xf>
    <xf numFmtId="168" fontId="0" fillId="0" borderId="0" xfId="0" applyNumberFormat="1" applyAlignment="1">
      <alignment horizontal="right" vertical="center"/>
    </xf>
    <xf numFmtId="168" fontId="4" fillId="0" borderId="27" xfId="0" applyNumberFormat="1" applyFont="1" applyBorder="1" applyAlignment="1">
      <alignment vertical="center"/>
    </xf>
    <xf numFmtId="168" fontId="4" fillId="0" borderId="72" xfId="0" applyNumberFormat="1" applyFont="1" applyBorder="1" applyAlignment="1">
      <alignment vertical="center"/>
    </xf>
    <xf numFmtId="168" fontId="4" fillId="0" borderId="49" xfId="0" applyNumberFormat="1" applyFont="1" applyBorder="1" applyAlignment="1">
      <alignment vertical="center"/>
    </xf>
    <xf numFmtId="8" fontId="7" fillId="0" borderId="0" xfId="0" applyNumberFormat="1" applyFont="1" applyAlignment="1">
      <alignment horizontal="center" vertical="center"/>
    </xf>
    <xf numFmtId="8" fontId="18" fillId="0" borderId="0" xfId="0" applyNumberFormat="1" applyFont="1" applyAlignment="1">
      <alignment vertical="center"/>
    </xf>
    <xf numFmtId="8" fontId="7" fillId="0" borderId="0" xfId="0" applyNumberFormat="1" applyFont="1" applyAlignment="1">
      <alignment vertical="center"/>
    </xf>
    <xf numFmtId="0" fontId="44" fillId="5" borderId="8" xfId="21" applyFont="1" applyFill="1" applyBorder="1" applyAlignment="1">
      <alignment vertical="center" wrapText="1"/>
    </xf>
    <xf numFmtId="168" fontId="0" fillId="0" borderId="8" xfId="0" applyNumberFormat="1" applyFont="1" applyBorder="1" applyAlignment="1">
      <alignment vertical="center"/>
    </xf>
    <xf numFmtId="168" fontId="0" fillId="0" borderId="8" xfId="0" quotePrefix="1" applyNumberFormat="1" applyFont="1" applyBorder="1" applyAlignment="1">
      <alignment vertical="center"/>
    </xf>
    <xf numFmtId="168" fontId="4" fillId="0" borderId="8" xfId="0" quotePrefix="1" applyNumberFormat="1" applyFont="1" applyBorder="1" applyAlignment="1">
      <alignment vertical="center"/>
    </xf>
    <xf numFmtId="168" fontId="7" fillId="0" borderId="8" xfId="0" applyNumberFormat="1" applyFont="1" applyBorder="1" applyAlignment="1">
      <alignment vertical="center"/>
    </xf>
    <xf numFmtId="168" fontId="7" fillId="0" borderId="8" xfId="0" quotePrefix="1" applyNumberFormat="1" applyFont="1" applyBorder="1" applyAlignment="1">
      <alignment vertical="center"/>
    </xf>
    <xf numFmtId="8" fontId="4" fillId="0" borderId="197" xfId="0" applyNumberFormat="1" applyFont="1" applyBorder="1" applyAlignment="1">
      <alignment vertical="center"/>
    </xf>
    <xf numFmtId="168" fontId="4" fillId="0" borderId="0" xfId="0" quotePrefix="1" applyNumberFormat="1" applyFont="1" applyBorder="1" applyAlignment="1">
      <alignment vertical="center"/>
    </xf>
    <xf numFmtId="168" fontId="4" fillId="0" borderId="0" xfId="0" applyNumberFormat="1" applyFont="1" applyBorder="1" applyAlignment="1">
      <alignment horizontal="right" vertical="center"/>
    </xf>
    <xf numFmtId="8" fontId="4" fillId="0" borderId="0" xfId="0" applyNumberFormat="1" applyFont="1" applyBorder="1" applyAlignment="1">
      <alignment vertical="center"/>
    </xf>
    <xf numFmtId="170" fontId="0" fillId="6" borderId="19" xfId="0" applyNumberFormat="1" applyFont="1" applyFill="1" applyBorder="1" applyProtection="1">
      <protection locked="0"/>
    </xf>
    <xf numFmtId="170" fontId="0" fillId="6" borderId="167" xfId="0" applyNumberFormat="1" applyFont="1" applyFill="1" applyBorder="1" applyProtection="1">
      <protection locked="0"/>
    </xf>
    <xf numFmtId="8" fontId="4" fillId="0" borderId="0" xfId="0" applyNumberFormat="1" applyFont="1" applyAlignment="1">
      <alignment vertical="center"/>
    </xf>
    <xf numFmtId="8" fontId="4" fillId="0" borderId="198" xfId="0" applyNumberFormat="1" applyFont="1" applyBorder="1" applyAlignment="1">
      <alignment vertical="center"/>
    </xf>
    <xf numFmtId="8" fontId="4" fillId="0" borderId="0" xfId="0" applyNumberFormat="1" applyFont="1" applyAlignment="1">
      <alignment horizontal="right" vertical="center"/>
    </xf>
    <xf numFmtId="8" fontId="0" fillId="0" borderId="0" xfId="0" applyNumberFormat="1" applyAlignment="1">
      <alignment horizontal="right" vertical="center"/>
    </xf>
    <xf numFmtId="8" fontId="10" fillId="0" borderId="0" xfId="0" applyNumberFormat="1" applyFont="1" applyAlignment="1">
      <alignment horizontal="right" vertical="center"/>
    </xf>
    <xf numFmtId="168" fontId="0" fillId="0" borderId="0" xfId="0" applyNumberFormat="1" applyAlignment="1">
      <alignment vertical="center"/>
    </xf>
    <xf numFmtId="168" fontId="0" fillId="0" borderId="8" xfId="0" applyNumberFormat="1" applyBorder="1" applyAlignment="1">
      <alignment vertical="center"/>
    </xf>
    <xf numFmtId="168" fontId="0" fillId="0" borderId="0" xfId="0" applyNumberFormat="1" applyAlignment="1">
      <alignment horizontal="left" vertical="center"/>
    </xf>
    <xf numFmtId="15" fontId="32" fillId="0" borderId="0" xfId="0" applyFont="1" applyAlignment="1">
      <alignment horizontal="right"/>
    </xf>
    <xf numFmtId="15" fontId="17" fillId="0" borderId="0" xfId="0" applyFont="1" applyAlignment="1">
      <alignment horizontal="right"/>
    </xf>
    <xf numFmtId="15" fontId="46" fillId="0" borderId="0" xfId="0" applyFont="1"/>
    <xf numFmtId="15" fontId="0" fillId="6" borderId="9" xfId="0" applyFill="1" applyBorder="1" applyAlignment="1" applyProtection="1">
      <alignment horizontal="center"/>
      <protection locked="0"/>
    </xf>
    <xf numFmtId="15" fontId="4" fillId="6" borderId="24" xfId="0" applyFont="1" applyFill="1" applyBorder="1" applyAlignment="1" applyProtection="1">
      <alignment horizontal="center"/>
      <protection locked="0"/>
    </xf>
    <xf numFmtId="170" fontId="4" fillId="6" borderId="46" xfId="0" applyNumberFormat="1" applyFont="1" applyFill="1" applyBorder="1" applyProtection="1">
      <protection locked="0"/>
    </xf>
    <xf numFmtId="175" fontId="4" fillId="2" borderId="0" xfId="0" applyNumberFormat="1" applyFont="1" applyFill="1" applyBorder="1"/>
    <xf numFmtId="167" fontId="4" fillId="2" borderId="5" xfId="0" applyNumberFormat="1" applyFont="1" applyFill="1" applyBorder="1"/>
    <xf numFmtId="1" fontId="4" fillId="2" borderId="5" xfId="0" applyNumberFormat="1" applyFont="1" applyFill="1" applyBorder="1"/>
    <xf numFmtId="175" fontId="4" fillId="2" borderId="5" xfId="0" applyNumberFormat="1" applyFont="1" applyFill="1" applyBorder="1"/>
    <xf numFmtId="8" fontId="18" fillId="0" borderId="0" xfId="0" applyNumberFormat="1" applyFont="1" applyBorder="1"/>
    <xf numFmtId="8" fontId="18" fillId="0" borderId="186" xfId="0" applyNumberFormat="1" applyFont="1" applyBorder="1"/>
    <xf numFmtId="1" fontId="4" fillId="0" borderId="64" xfId="0" applyNumberFormat="1" applyFont="1" applyBorder="1" applyAlignment="1">
      <alignment horizontal="center"/>
    </xf>
    <xf numFmtId="168" fontId="7" fillId="0" borderId="109" xfId="0" applyNumberFormat="1" applyFont="1" applyBorder="1" applyAlignment="1">
      <alignment wrapText="1"/>
    </xf>
    <xf numFmtId="170" fontId="0" fillId="3" borderId="181" xfId="0" applyNumberFormat="1" applyFill="1" applyBorder="1" applyAlignment="1" applyProtection="1">
      <alignment horizontal="left" wrapText="1"/>
      <protection locked="0"/>
    </xf>
    <xf numFmtId="170" fontId="0" fillId="0" borderId="19" xfId="0" applyNumberFormat="1" applyBorder="1"/>
    <xf numFmtId="171" fontId="4" fillId="3" borderId="10" xfId="0" applyNumberFormat="1" applyFont="1" applyFill="1" applyBorder="1" applyAlignment="1" applyProtection="1">
      <alignment horizontal="center"/>
      <protection locked="0"/>
    </xf>
    <xf numFmtId="15" fontId="0" fillId="0" borderId="9" xfId="0" applyFont="1" applyBorder="1" applyAlignment="1">
      <alignment horizontal="center"/>
    </xf>
    <xf numFmtId="168" fontId="0" fillId="6" borderId="195" xfId="0" applyNumberFormat="1" applyFill="1" applyBorder="1" applyAlignment="1">
      <alignment vertical="center"/>
    </xf>
    <xf numFmtId="2" fontId="47" fillId="0" borderId="52" xfId="0" applyNumberFormat="1" applyFont="1" applyBorder="1" applyAlignment="1" applyProtection="1">
      <alignment horizontal="center"/>
    </xf>
    <xf numFmtId="168" fontId="3" fillId="0" borderId="0" xfId="0" applyNumberFormat="1" applyFont="1" applyBorder="1" applyAlignment="1">
      <alignment vertical="center"/>
    </xf>
    <xf numFmtId="168" fontId="4" fillId="0" borderId="187" xfId="0" applyNumberFormat="1" applyFont="1" applyBorder="1" applyAlignment="1">
      <alignment vertical="center"/>
    </xf>
    <xf numFmtId="168" fontId="48" fillId="0" borderId="0" xfId="0" applyNumberFormat="1" applyFont="1" applyAlignment="1">
      <alignment horizontal="right" vertical="center"/>
    </xf>
    <xf numFmtId="15" fontId="0" fillId="2" borderId="0" xfId="0" applyNumberFormat="1" applyFill="1" applyAlignment="1">
      <alignment vertical="center"/>
    </xf>
    <xf numFmtId="15" fontId="4" fillId="6" borderId="24" xfId="0" applyFont="1" applyFill="1" applyBorder="1" applyAlignment="1" applyProtection="1">
      <alignment horizontal="center"/>
    </xf>
    <xf numFmtId="0" fontId="49" fillId="0" borderId="8" xfId="21" applyFont="1" applyFill="1" applyBorder="1" applyAlignment="1">
      <alignment vertical="center"/>
    </xf>
    <xf numFmtId="8" fontId="4" fillId="0" borderId="54" xfId="0" applyNumberFormat="1" applyFont="1" applyBorder="1" applyAlignment="1">
      <alignment vertical="center"/>
    </xf>
    <xf numFmtId="8" fontId="4" fillId="0" borderId="39" xfId="0" applyNumberFormat="1" applyFont="1" applyBorder="1" applyAlignment="1">
      <alignment vertical="center"/>
    </xf>
    <xf numFmtId="168" fontId="0" fillId="6" borderId="0" xfId="0" applyNumberFormat="1" applyFill="1" applyBorder="1" applyAlignment="1">
      <alignment vertical="center"/>
    </xf>
    <xf numFmtId="168" fontId="0" fillId="0" borderId="0" xfId="0" applyNumberFormat="1" applyBorder="1" applyAlignment="1">
      <alignment vertical="center"/>
    </xf>
    <xf numFmtId="168" fontId="0" fillId="0" borderId="194" xfId="0" applyNumberFormat="1" applyBorder="1" applyAlignment="1">
      <alignment vertical="center"/>
    </xf>
    <xf numFmtId="168" fontId="4" fillId="0" borderId="79" xfId="0" applyNumberFormat="1" applyFont="1" applyBorder="1" applyAlignment="1">
      <alignment horizontal="right" vertical="center"/>
    </xf>
    <xf numFmtId="8" fontId="4" fillId="0" borderId="199" xfId="0" applyNumberFormat="1" applyFont="1" applyBorder="1" applyAlignment="1">
      <alignment vertical="center"/>
    </xf>
    <xf numFmtId="168" fontId="0" fillId="0" borderId="192" xfId="0" applyNumberFormat="1" applyBorder="1" applyAlignment="1">
      <alignment vertical="center"/>
    </xf>
    <xf numFmtId="168" fontId="5" fillId="0" borderId="0" xfId="0" applyNumberFormat="1" applyFont="1" applyBorder="1" applyAlignment="1">
      <alignment horizontal="left" vertical="center"/>
    </xf>
    <xf numFmtId="168" fontId="0" fillId="0" borderId="189" xfId="0" applyNumberFormat="1" applyBorder="1" applyAlignment="1">
      <alignment vertical="center"/>
    </xf>
    <xf numFmtId="168" fontId="50" fillId="0" borderId="0" xfId="0" applyNumberFormat="1" applyFont="1" applyAlignment="1">
      <alignment vertical="center"/>
    </xf>
    <xf numFmtId="168" fontId="50" fillId="0" borderId="0" xfId="0" applyNumberFormat="1" applyFont="1" applyBorder="1" applyAlignment="1">
      <alignment horizontal="left" vertical="center"/>
    </xf>
    <xf numFmtId="1" fontId="0" fillId="0" borderId="15" xfId="0" applyNumberFormat="1" applyBorder="1" applyAlignment="1">
      <alignment horizontal="right"/>
    </xf>
    <xf numFmtId="1" fontId="51" fillId="3" borderId="123" xfId="0" applyNumberFormat="1" applyFont="1" applyFill="1" applyBorder="1" applyAlignment="1" applyProtection="1">
      <alignment horizontal="center"/>
      <protection locked="0"/>
    </xf>
    <xf numFmtId="8" fontId="0" fillId="3" borderId="129" xfId="0" applyNumberFormat="1" applyFill="1" applyBorder="1" applyProtection="1">
      <protection locked="0"/>
    </xf>
    <xf numFmtId="168" fontId="0" fillId="0" borderId="11" xfId="0" applyNumberFormat="1" applyBorder="1" applyAlignment="1">
      <alignment vertical="center"/>
    </xf>
    <xf numFmtId="8" fontId="4" fillId="0" borderId="10" xfId="0" applyNumberFormat="1" applyFont="1" applyBorder="1" applyAlignment="1">
      <alignment horizontal="right" vertical="center"/>
    </xf>
    <xf numFmtId="170" fontId="0" fillId="3" borderId="114" xfId="0" applyNumberFormat="1" applyFont="1" applyFill="1" applyBorder="1" applyAlignment="1" applyProtection="1">
      <alignment horizontal="left" wrapText="1"/>
      <protection locked="0"/>
    </xf>
    <xf numFmtId="170" fontId="0" fillId="3" borderId="177" xfId="0" applyNumberFormat="1" applyFill="1" applyBorder="1" applyAlignment="1" applyProtection="1">
      <alignment horizontal="left" wrapText="1"/>
      <protection locked="0"/>
    </xf>
    <xf numFmtId="168" fontId="16" fillId="0" borderId="0" xfId="0" applyNumberFormat="1" applyFont="1" applyAlignment="1">
      <alignment wrapText="1"/>
    </xf>
    <xf numFmtId="168" fontId="34" fillId="0" borderId="0" xfId="0" applyNumberFormat="1" applyFont="1" applyAlignment="1">
      <alignment horizontal="center"/>
    </xf>
    <xf numFmtId="15" fontId="0" fillId="0" borderId="0" xfId="0" applyAlignment="1">
      <alignment horizontal="center"/>
    </xf>
    <xf numFmtId="168" fontId="4" fillId="0" borderId="0" xfId="0" applyNumberFormat="1" applyFont="1" applyAlignment="1"/>
    <xf numFmtId="168" fontId="26" fillId="0" borderId="0" xfId="0" applyNumberFormat="1" applyFont="1" applyAlignment="1">
      <alignment vertical="center"/>
    </xf>
    <xf numFmtId="15" fontId="0" fillId="0" borderId="0" xfId="0" applyAlignment="1">
      <alignment vertical="center"/>
    </xf>
    <xf numFmtId="168" fontId="26" fillId="0" borderId="2" xfId="0" applyNumberFormat="1" applyFont="1" applyBorder="1" applyAlignment="1">
      <alignment vertical="center"/>
    </xf>
    <xf numFmtId="15" fontId="0" fillId="0" borderId="2" xfId="0" applyBorder="1" applyAlignment="1">
      <alignment vertical="center"/>
    </xf>
    <xf numFmtId="168" fontId="9" fillId="0" borderId="0" xfId="0" applyNumberFormat="1" applyFont="1" applyAlignment="1">
      <alignment vertical="center"/>
    </xf>
    <xf numFmtId="168" fontId="6" fillId="0" borderId="0" xfId="0" applyNumberFormat="1" applyFont="1" applyAlignment="1">
      <alignment vertical="center"/>
    </xf>
    <xf numFmtId="15" fontId="36" fillId="0" borderId="0" xfId="0" applyFont="1" applyAlignment="1">
      <alignment vertical="center" wrapText="1"/>
    </xf>
    <xf numFmtId="15" fontId="0" fillId="0" borderId="0" xfId="0" applyAlignment="1">
      <alignment vertical="center" wrapText="1"/>
    </xf>
    <xf numFmtId="15" fontId="0" fillId="0" borderId="18" xfId="0" applyBorder="1" applyAlignment="1">
      <alignment vertical="center" wrapText="1"/>
    </xf>
  </cellXfs>
  <cellStyles count="26">
    <cellStyle name="Comma0" xfId="1"/>
    <cellStyle name="Comma0 2" xfId="2"/>
    <cellStyle name="Comma0 3" xfId="3"/>
    <cellStyle name="Currency0" xfId="4"/>
    <cellStyle name="Currency0 2" xfId="5"/>
    <cellStyle name="Currency0 3" xfId="6"/>
    <cellStyle name="Date" xfId="7"/>
    <cellStyle name="Date 2" xfId="8"/>
    <cellStyle name="Date 3" xfId="9"/>
    <cellStyle name="Fixed" xfId="10"/>
    <cellStyle name="Fixed 2" xfId="11"/>
    <cellStyle name="Fixed 3" xfId="12"/>
    <cellStyle name="Heading 1" xfId="13" builtinId="16" customBuiltin="1"/>
    <cellStyle name="Heading 1 2" xfId="14"/>
    <cellStyle name="Heading 1 3" xfId="15"/>
    <cellStyle name="Heading 2" xfId="16" builtinId="17" customBuiltin="1"/>
    <cellStyle name="Heading 2 2" xfId="17"/>
    <cellStyle name="Heading 2 3" xfId="18"/>
    <cellStyle name="Hyperlink 2" xfId="19"/>
    <cellStyle name="Normal" xfId="0" builtinId="0"/>
    <cellStyle name="Normal 2" xfId="20"/>
    <cellStyle name="Normal 3" xfId="21"/>
    <cellStyle name="Normal 4" xfId="22"/>
    <cellStyle name="Total" xfId="23" builtinId="25" customBuiltin="1"/>
    <cellStyle name="Total 2" xfId="24"/>
    <cellStyle name="Total 3" xfId="2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9"/>
  <sheetViews>
    <sheetView zoomScale="200" zoomScaleNormal="200" workbookViewId="0">
      <selection activeCell="C2" sqref="C2"/>
    </sheetView>
  </sheetViews>
  <sheetFormatPr defaultColWidth="11.1640625" defaultRowHeight="7"/>
  <cols>
    <col min="1" max="1" width="4.1640625" style="29" customWidth="1"/>
    <col min="2" max="2" width="18.33203125" style="29" customWidth="1"/>
    <col min="3" max="3" width="9.83203125" style="29" customWidth="1"/>
    <col min="4" max="4" width="46.1640625" style="29" customWidth="1"/>
    <col min="5" max="5" width="11.83203125" style="29" customWidth="1"/>
    <col min="6" max="6" width="3.83203125" style="29" customWidth="1"/>
    <col min="7" max="7" width="8.83203125" style="29" customWidth="1"/>
    <col min="8" max="8" width="6.83203125" style="29" customWidth="1"/>
    <col min="9" max="10" width="7.83203125" style="29" customWidth="1"/>
    <col min="11" max="11" width="14.83203125" style="29" customWidth="1"/>
    <col min="12" max="13" width="15.83203125" style="29" customWidth="1"/>
    <col min="14" max="14" width="9.83203125" style="261" customWidth="1"/>
    <col min="15" max="15" width="12.83203125" style="261" customWidth="1"/>
    <col min="16" max="18" width="4" style="261" customWidth="1"/>
    <col min="19" max="20" width="4" style="29" customWidth="1"/>
    <col min="21" max="34" width="11.1640625" style="29" customWidth="1"/>
    <col min="35" max="35" width="9.83203125" style="29" customWidth="1"/>
    <col min="36" max="36" width="11.1640625" style="29" customWidth="1"/>
    <col min="37" max="37" width="11.83203125" style="29" customWidth="1"/>
    <col min="38" max="38" width="10.83203125" style="29" customWidth="1"/>
    <col min="39" max="198" width="11.1640625" style="29" customWidth="1"/>
    <col min="199" max="199" width="1.83203125" style="29" customWidth="1"/>
    <col min="200" max="16384" width="11.1640625" style="29"/>
  </cols>
  <sheetData>
    <row r="1" spans="1:18" ht="13.5" thickBot="1">
      <c r="A1" s="36"/>
      <c r="B1" s="340" t="str">
        <f>Summary!G10</f>
        <v>BANK POSITION THIS YEAR</v>
      </c>
      <c r="C1" s="44"/>
      <c r="D1" s="44"/>
      <c r="E1" s="44"/>
      <c r="G1" s="38"/>
      <c r="H1" s="30"/>
      <c r="K1" s="30"/>
      <c r="M1" s="32"/>
      <c r="N1" s="29"/>
      <c r="O1" s="29"/>
      <c r="P1" s="29"/>
      <c r="Q1" s="29"/>
      <c r="R1" s="29"/>
    </row>
    <row r="2" spans="1:18" ht="13" thickTop="1">
      <c r="A2" s="36"/>
      <c r="B2" s="430" t="s">
        <v>157</v>
      </c>
      <c r="C2" s="626">
        <v>43851</v>
      </c>
      <c r="D2" s="439"/>
      <c r="E2" s="550">
        <v>9839.02</v>
      </c>
      <c r="H2" s="30"/>
      <c r="K2" s="37"/>
      <c r="L2" s="37"/>
      <c r="M2" s="37"/>
      <c r="N2" s="29"/>
      <c r="O2" s="29"/>
      <c r="P2" s="29"/>
      <c r="Q2" s="29"/>
      <c r="R2" s="29"/>
    </row>
    <row r="3" spans="1:18" ht="7.5" thickBot="1">
      <c r="A3" s="36"/>
      <c r="B3" s="436" t="s">
        <v>173</v>
      </c>
      <c r="C3" s="437"/>
      <c r="D3" s="437"/>
      <c r="E3" s="438">
        <f>Summary!L12</f>
        <v>-573.54999999999995</v>
      </c>
      <c r="G3" s="42"/>
      <c r="H3" s="42"/>
      <c r="I3" s="42"/>
      <c r="J3" s="42"/>
      <c r="K3" s="42"/>
      <c r="L3" s="42"/>
      <c r="M3" s="249"/>
      <c r="N3" s="29"/>
      <c r="O3" s="33"/>
    </row>
    <row r="4" spans="1:18" ht="8.25" hidden="1" customHeight="1">
      <c r="A4" s="36"/>
      <c r="B4" s="34" t="s">
        <v>92</v>
      </c>
      <c r="E4" s="35"/>
      <c r="G4" s="262"/>
      <c r="L4" s="46"/>
    </row>
    <row r="5" spans="1:18" ht="8.65" hidden="1" customHeight="1">
      <c r="A5" s="36"/>
      <c r="B5" s="34"/>
      <c r="C5" s="29" t="str">
        <f>Summary!H16</f>
        <v>2019 INCOME  EXPECTED IN 2020</v>
      </c>
      <c r="E5" s="43">
        <f>Summary!L16</f>
        <v>0</v>
      </c>
    </row>
    <row r="6" spans="1:18" ht="8.65" hidden="1" customHeight="1" thickBot="1">
      <c r="A6" s="36"/>
      <c r="B6" s="34"/>
      <c r="C6" s="29" t="str">
        <f>Summary!H17</f>
        <v>2019 CHARGES  EXPECTED IN 2020</v>
      </c>
      <c r="E6" s="154">
        <f>Summary!L17</f>
        <v>0</v>
      </c>
    </row>
    <row r="7" spans="1:18" ht="8" thickTop="1" thickBot="1">
      <c r="A7" s="36"/>
      <c r="B7" s="39" t="s">
        <v>148</v>
      </c>
      <c r="C7" s="40"/>
      <c r="D7" s="40"/>
      <c r="E7" s="41">
        <f>SUM(E2:E6)</f>
        <v>9265.4700000000012</v>
      </c>
    </row>
    <row r="8" spans="1:18" ht="8" thickTop="1" thickBot="1"/>
    <row r="9" spans="1:18" ht="7.5" thickTop="1">
      <c r="A9" s="36"/>
      <c r="B9" s="430" t="s">
        <v>151</v>
      </c>
      <c r="C9" s="431"/>
      <c r="D9" s="431"/>
      <c r="E9" s="432"/>
      <c r="G9" s="42"/>
      <c r="H9" s="42"/>
      <c r="I9" s="42"/>
      <c r="J9" s="247"/>
      <c r="K9" s="42"/>
      <c r="L9" s="42"/>
      <c r="M9" s="42"/>
    </row>
    <row r="10" spans="1:18" ht="7.5" thickBot="1">
      <c r="A10" s="36"/>
      <c r="B10" s="433" t="s">
        <v>150</v>
      </c>
      <c r="C10" s="434"/>
      <c r="D10" s="434"/>
      <c r="E10" s="435"/>
      <c r="G10" s="42"/>
      <c r="H10" s="42"/>
      <c r="I10" s="42"/>
      <c r="J10" s="248"/>
      <c r="K10" s="42"/>
      <c r="L10" s="42"/>
      <c r="M10" s="42"/>
    </row>
    <row r="11" spans="1:18" ht="8" thickTop="1" thickBot="1">
      <c r="B11" s="39"/>
      <c r="C11" s="40" t="s">
        <v>149</v>
      </c>
      <c r="D11" s="40"/>
      <c r="E11" s="41">
        <f>Summary!D13</f>
        <v>9265.4700000000012</v>
      </c>
    </row>
    <row r="12" spans="1:18" ht="7.5" thickTop="1"/>
    <row r="13" spans="1:18">
      <c r="B13" s="868" t="s">
        <v>152</v>
      </c>
      <c r="C13" s="868"/>
      <c r="D13" s="868"/>
      <c r="E13" s="868"/>
    </row>
    <row r="14" spans="1:18">
      <c r="B14" s="868" t="s">
        <v>160</v>
      </c>
      <c r="C14" s="868"/>
      <c r="D14" s="868"/>
      <c r="E14" s="868"/>
    </row>
    <row r="15" spans="1:18">
      <c r="B15" s="29" t="s">
        <v>161</v>
      </c>
    </row>
    <row r="17" spans="2:5">
      <c r="B17" s="868" t="s">
        <v>158</v>
      </c>
      <c r="C17" s="868"/>
      <c r="D17" s="868"/>
      <c r="E17" s="868"/>
    </row>
    <row r="18" spans="2:5" ht="32.5">
      <c r="B18" s="866" t="str">
        <f>IF(ISNUMBER(Summary!A14),"ERROR IN ACCOUNTS","")</f>
        <v/>
      </c>
      <c r="C18" s="867"/>
      <c r="D18" s="867"/>
      <c r="E18" s="867"/>
    </row>
    <row r="19" spans="2:5" ht="20.25" customHeight="1">
      <c r="B19" s="865" t="str">
        <f>IF(ISNUMBER(Summary!A14),"In [Trip Accounts], [Provisions &amp; Subs] and [Late Banking], check you have overwritten &lt;post balance&gt; (with a deposit/payment reference) for all trip accounts whose transactions contribute to the bank balance (in cell E2).","")</f>
        <v/>
      </c>
      <c r="C19" s="865"/>
      <c r="D19" s="865"/>
      <c r="E19" s="865"/>
    </row>
  </sheetData>
  <mergeCells count="5">
    <mergeCell ref="B19:E19"/>
    <mergeCell ref="B18:E18"/>
    <mergeCell ref="B14:E14"/>
    <mergeCell ref="B13:E13"/>
    <mergeCell ref="B17:E17"/>
  </mergeCells>
  <phoneticPr fontId="9" type="noConversion"/>
  <pageMargins left="0.75" right="0.75" top="1" bottom="1" header="0.5" footer="0.5"/>
  <pageSetup paperSize="9" scale="205" orientation="landscape" verticalDpi="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121"/>
  <sheetViews>
    <sheetView showGridLines="0" showZeros="0" tabSelected="1" topLeftCell="A2" zoomScale="121" zoomScaleNormal="121" workbookViewId="0">
      <selection sqref="A1:XFD1"/>
    </sheetView>
  </sheetViews>
  <sheetFormatPr defaultColWidth="11.1640625" defaultRowHeight="7"/>
  <cols>
    <col min="1" max="1" width="34.83203125" style="320" customWidth="1"/>
    <col min="2" max="2" width="11.83203125" style="320" customWidth="1"/>
    <col min="3" max="3" width="10.83203125" style="320" customWidth="1"/>
    <col min="4" max="4" width="11.83203125" style="320" customWidth="1"/>
    <col min="5" max="5" width="13.83203125" style="320" customWidth="1"/>
    <col min="6" max="6" width="4.1640625" style="320" customWidth="1"/>
    <col min="7" max="8" width="8.83203125" style="320" customWidth="1"/>
    <col min="9" max="9" width="11.83203125" style="320" customWidth="1"/>
    <col min="10" max="10" width="15.83203125" style="320" customWidth="1"/>
    <col min="11" max="11" width="12.83203125" style="320" customWidth="1"/>
    <col min="12" max="12" width="11.83203125" style="320" customWidth="1"/>
    <col min="13" max="13" width="3.83203125" style="320" customWidth="1"/>
    <col min="14" max="14" width="8.83203125" style="320" customWidth="1"/>
    <col min="15" max="15" width="6.83203125" style="320" customWidth="1"/>
    <col min="16" max="16" width="11" style="320" customWidth="1"/>
    <col min="17" max="17" width="7.83203125" style="320" customWidth="1"/>
    <col min="18" max="18" width="14.83203125" style="320" customWidth="1"/>
    <col min="19" max="19" width="15.83203125" style="320" customWidth="1"/>
    <col min="20" max="20" width="17.1640625" style="320" customWidth="1"/>
    <col min="21" max="21" width="9.83203125" style="697" customWidth="1"/>
    <col min="22" max="22" width="12.83203125" style="697" customWidth="1"/>
    <col min="23" max="25" width="4" style="697" customWidth="1"/>
    <col min="26" max="27" width="4" style="320" customWidth="1"/>
    <col min="28" max="41" width="11.1640625" style="320"/>
    <col min="42" max="42" width="9.83203125" style="320" customWidth="1"/>
    <col min="43" max="43" width="11.1640625" style="320"/>
    <col min="44" max="44" width="11.83203125" style="320" customWidth="1"/>
    <col min="45" max="45" width="10.83203125" style="320" customWidth="1"/>
    <col min="46" max="205" width="11.1640625" style="320"/>
    <col min="206" max="206" width="1.83203125" style="320" customWidth="1"/>
    <col min="207" max="16384" width="11.1640625" style="320"/>
  </cols>
  <sheetData>
    <row r="1" spans="1:25" s="659" customFormat="1" ht="27" hidden="1" customHeight="1">
      <c r="A1" s="655" t="s">
        <v>93</v>
      </c>
      <c r="B1" s="656">
        <v>2019</v>
      </c>
      <c r="C1" s="657" t="s">
        <v>94</v>
      </c>
      <c r="D1" s="657"/>
      <c r="E1" s="658">
        <v>43587</v>
      </c>
      <c r="G1" s="660" t="s">
        <v>97</v>
      </c>
      <c r="H1" s="661"/>
      <c r="I1" s="661"/>
      <c r="J1" s="662">
        <v>0.25</v>
      </c>
      <c r="K1" s="663" t="s">
        <v>137</v>
      </c>
      <c r="L1" s="664"/>
      <c r="S1" s="659" t="s">
        <v>118</v>
      </c>
      <c r="T1" s="843">
        <v>43853</v>
      </c>
    </row>
    <row r="2" spans="1:25" ht="35.25" customHeight="1">
      <c r="A2" s="665" t="s">
        <v>100</v>
      </c>
      <c r="B2" s="666"/>
      <c r="C2" s="667"/>
      <c r="D2" s="667"/>
      <c r="E2" s="668"/>
      <c r="G2" s="669"/>
      <c r="H2" s="670" t="s">
        <v>101</v>
      </c>
      <c r="K2" s="671"/>
      <c r="L2" s="672"/>
      <c r="T2" s="673" t="str">
        <f>TEXT(T1,"dd mmmmmmm yyy")</f>
        <v>23 January 2020</v>
      </c>
      <c r="U2" s="320"/>
      <c r="V2" s="320"/>
      <c r="W2" s="320"/>
      <c r="X2" s="320"/>
      <c r="Y2" s="320"/>
    </row>
    <row r="3" spans="1:25" ht="28.5" thickBot="1">
      <c r="A3" s="510" t="s">
        <v>0</v>
      </c>
      <c r="C3" s="674" t="s">
        <v>1</v>
      </c>
      <c r="G3" s="510" t="s">
        <v>2</v>
      </c>
      <c r="K3" s="675"/>
      <c r="N3" s="676" t="s">
        <v>3</v>
      </c>
      <c r="O3" s="677"/>
      <c r="U3" s="320"/>
      <c r="V3" s="320"/>
      <c r="W3" s="320"/>
      <c r="X3" s="320"/>
      <c r="Y3" s="320"/>
    </row>
    <row r="4" spans="1:25" ht="12" thickTop="1">
      <c r="A4" s="678" t="str">
        <f>CONCATENATE("TOTAL REAL INCOME IN ",$B$1)</f>
        <v>TOTAL REAL INCOME IN 2019</v>
      </c>
      <c r="B4" s="327"/>
      <c r="C4" s="327"/>
      <c r="D4" s="679">
        <f>B31</f>
        <v>6770</v>
      </c>
      <c r="G4" s="678" t="s">
        <v>7</v>
      </c>
      <c r="H4" s="327"/>
      <c r="I4" s="680">
        <v>43482</v>
      </c>
      <c r="J4" s="327"/>
      <c r="K4" s="327"/>
      <c r="L4" s="681">
        <v>7264.89</v>
      </c>
      <c r="N4" s="856" t="s">
        <v>245</v>
      </c>
      <c r="U4" s="320"/>
      <c r="V4" s="320"/>
      <c r="W4" s="320"/>
      <c r="X4" s="320"/>
      <c r="Y4" s="320"/>
    </row>
    <row r="5" spans="1:25" ht="13">
      <c r="A5" s="321" t="str">
        <f>CONCATENATE("TOTAL REAL EXPENDITURE IN ",$B$1)</f>
        <v>TOTAL REAL EXPENDITURE IN 2019</v>
      </c>
      <c r="D5" s="685">
        <f>-B50</f>
        <v>-4818.6499999999996</v>
      </c>
      <c r="F5" s="686"/>
      <c r="G5" s="321" t="s">
        <v>200</v>
      </c>
      <c r="L5" s="685">
        <v>0</v>
      </c>
      <c r="P5" s="682"/>
      <c r="S5" s="683" t="str">
        <f>IF(J50-J31&lt;0,"We budgeted for a LOSS of: ",CONCATENATE("We budgeted for an ANNUAL SURPLUS of:"))</f>
        <v>We budgeted for an ANNUAL SURPLUS of:</v>
      </c>
      <c r="T5" s="684">
        <f>ABS(J50-J31)</f>
        <v>247.00000000000091</v>
      </c>
      <c r="U5" s="320"/>
      <c r="V5" s="320"/>
      <c r="W5" s="320"/>
      <c r="X5" s="320"/>
      <c r="Y5" s="320"/>
    </row>
    <row r="6" spans="1:25" ht="13">
      <c r="A6" s="818" t="s">
        <v>198</v>
      </c>
      <c r="D6" s="685"/>
      <c r="E6" s="321"/>
      <c r="F6" s="686"/>
      <c r="G6" s="321"/>
      <c r="L6" s="685"/>
      <c r="O6" s="682"/>
      <c r="P6" s="682"/>
      <c r="R6" s="687"/>
      <c r="S6" s="683" t="str">
        <f>CONCATENATE(IF(D10-D13-C99&gt;0,"We achieved a net ANNUAL LOSS of:","We achieved a net ANNUAL SURPLUS of:"))</f>
        <v>We achieved a net ANNUAL SURPLUS of:</v>
      </c>
      <c r="T6" s="688">
        <f>ABS(D10-D11-C99)</f>
        <v>1969.2100000000009</v>
      </c>
      <c r="U6" s="320"/>
      <c r="V6" s="320"/>
      <c r="W6" s="320"/>
      <c r="X6" s="320"/>
      <c r="Y6" s="320"/>
    </row>
    <row r="7" spans="1:25" ht="11.5">
      <c r="A7" s="689" t="s">
        <v>4</v>
      </c>
      <c r="B7" s="690"/>
      <c r="C7" s="690"/>
      <c r="D7" s="691">
        <f>D4+D5+D6</f>
        <v>1951.3500000000004</v>
      </c>
      <c r="E7" s="321"/>
      <c r="F7" s="686"/>
      <c r="G7" s="689" t="str">
        <f>CONCATENATE("EFFECTIVE BANK BALANCE AT START OF YEAR ",$B$1)</f>
        <v>EFFECTIVE BANK BALANCE AT START OF YEAR 2019</v>
      </c>
      <c r="H7" s="690"/>
      <c r="I7" s="690"/>
      <c r="J7" s="690"/>
      <c r="K7" s="690"/>
      <c r="L7" s="691">
        <f>SUM(L4:L6)</f>
        <v>7264.89</v>
      </c>
      <c r="N7" s="857" t="s">
        <v>246</v>
      </c>
      <c r="U7" s="320"/>
      <c r="V7" s="320"/>
      <c r="W7" s="320"/>
      <c r="X7" s="320"/>
      <c r="Y7" s="320"/>
    </row>
    <row r="8" spans="1:25" ht="12.5">
      <c r="A8" s="693" t="str">
        <f>CONCATENATE("SURPLUS ON PROVISIONED ARREARS OF YEAR ",$B$1-1," ACCOUNTS")</f>
        <v>SURPLUS ON PROVISIONED ARREARS OF YEAR 2018 ACCOUNTS</v>
      </c>
      <c r="D8" s="685">
        <f>'PROVISIONS &amp; SUBS'!I44-'PROVISIONS &amp; SUBS'!I32</f>
        <v>17.86</v>
      </c>
      <c r="E8" s="321"/>
      <c r="F8" s="686"/>
      <c r="G8" s="321" t="str">
        <f>CONCATENATE("PROVISIONS FROM YEAR ",$B$1-1 )</f>
        <v>PROVISIONS FROM YEAR 2018</v>
      </c>
      <c r="J8" s="694"/>
      <c r="L8" s="685">
        <f>'PROVISIONS &amp; SUBS'!H32-'PROVISIONS &amp; SUBS'!H44</f>
        <v>31.370000000000005</v>
      </c>
      <c r="O8" s="692"/>
      <c r="P8" s="692"/>
      <c r="Q8" s="692"/>
      <c r="R8" s="840"/>
      <c r="S8" s="683" t="str">
        <f>CONCATENATE(IF(D10-D13&gt;0,"We achieved a net ANNUAL LOSS of:","We achieved a net ANNUAL SURPLUS of:"))</f>
        <v>We achieved a net ANNUAL SURPLUS of:</v>
      </c>
      <c r="T8" s="688">
        <f>ABS(D10-D11)</f>
        <v>1969.2100000000009</v>
      </c>
      <c r="U8" s="320"/>
    </row>
    <row r="9" spans="1:25" ht="13" thickBot="1">
      <c r="A9" s="698" t="s">
        <v>210</v>
      </c>
      <c r="D9" s="685"/>
      <c r="E9" s="321"/>
      <c r="F9" s="686"/>
      <c r="G9" s="689" t="str">
        <f>CONCATENATE("BALANCE REPORTED LAST YEAR FOR START OF YEAR ",$B$1)</f>
        <v>BALANCE REPORTED LAST YEAR FOR START OF YEAR 2019</v>
      </c>
      <c r="H9" s="690"/>
      <c r="I9" s="690"/>
      <c r="J9" s="690"/>
      <c r="K9" s="690"/>
      <c r="L9" s="691">
        <f>L7+L8</f>
        <v>7296.26</v>
      </c>
      <c r="N9" s="667" t="s">
        <v>191</v>
      </c>
      <c r="O9" s="692"/>
      <c r="P9" s="692"/>
      <c r="Q9" s="692"/>
      <c r="R9" s="692"/>
      <c r="S9" s="841"/>
      <c r="T9" s="688">
        <f>$J$31</f>
        <v>7296.26</v>
      </c>
      <c r="U9" s="320"/>
    </row>
    <row r="10" spans="1:25" ht="14" thickTop="1" thickBot="1">
      <c r="A10" s="321" t="s">
        <v>5</v>
      </c>
      <c r="D10" s="700">
        <f>J31</f>
        <v>7296.26</v>
      </c>
      <c r="E10" s="321"/>
      <c r="F10" s="686"/>
      <c r="G10" s="701" t="s">
        <v>6</v>
      </c>
      <c r="H10" s="702"/>
      <c r="I10" s="702"/>
      <c r="J10" s="702"/>
      <c r="K10" s="702"/>
      <c r="L10" s="702"/>
      <c r="N10" s="706" t="str">
        <f>CONCATENATE("Floating Fund ",IF(T10&lt;J31,"is now down to"," is now up to"),":")</f>
        <v>Floating Fund  is now up to:</v>
      </c>
      <c r="O10" s="667"/>
      <c r="P10" s="695"/>
      <c r="Q10" s="667"/>
      <c r="R10" s="692"/>
      <c r="S10" s="696"/>
      <c r="T10" s="707">
        <f>SUM(T9:T9)-(D10-D11)</f>
        <v>9265.4700000000012</v>
      </c>
      <c r="U10" s="320"/>
      <c r="V10" s="320"/>
      <c r="W10" s="320"/>
      <c r="X10" s="320"/>
      <c r="Y10" s="320"/>
    </row>
    <row r="11" spans="1:25" ht="13" thickTop="1">
      <c r="A11" s="703" t="s">
        <v>109</v>
      </c>
      <c r="B11" s="704"/>
      <c r="C11" s="704"/>
      <c r="D11" s="705">
        <f>SUM(D7:D10)</f>
        <v>9265.4700000000012</v>
      </c>
      <c r="E11" s="321"/>
      <c r="F11" s="686"/>
      <c r="G11" s="678" t="s">
        <v>7</v>
      </c>
      <c r="H11" s="327"/>
      <c r="I11" s="680">
        <f>'Di''s Summary'!C2</f>
        <v>43851</v>
      </c>
      <c r="J11" s="327"/>
      <c r="K11" s="327"/>
      <c r="L11" s="681">
        <f>'Di''s Summary'!E2</f>
        <v>9839.02</v>
      </c>
      <c r="P11" s="854" t="str">
        <f>CONCATENATE("(Budget aim was: £",$J$50,")")</f>
        <v>(Budget aim was: £7543.26)</v>
      </c>
      <c r="U11" s="320"/>
      <c r="V11" s="320"/>
      <c r="W11" s="320"/>
      <c r="X11" s="320"/>
      <c r="Y11" s="320"/>
    </row>
    <row r="12" spans="1:25" ht="7.5" thickBot="1">
      <c r="A12" s="708"/>
      <c r="B12" s="709"/>
      <c r="C12" s="709"/>
      <c r="D12" s="710"/>
      <c r="F12" s="686"/>
      <c r="G12" s="321" t="s">
        <v>140</v>
      </c>
      <c r="L12" s="711">
        <f>TRIP_ACCOUNTS!U146+'LATE BANKING'!AA1+'PROVISIONS &amp; SUBS'!L1</f>
        <v>-573.54999999999995</v>
      </c>
      <c r="U12" s="320"/>
      <c r="V12" s="682"/>
    </row>
    <row r="13" spans="1:25" ht="8" thickTop="1" thickBot="1">
      <c r="A13" s="713" t="s">
        <v>8</v>
      </c>
      <c r="B13" s="714"/>
      <c r="C13" s="714"/>
      <c r="D13" s="715">
        <f>SUM(D11:D12)</f>
        <v>9265.4700000000012</v>
      </c>
      <c r="F13" s="686"/>
      <c r="G13" s="321" t="s">
        <v>92</v>
      </c>
      <c r="I13" s="716"/>
      <c r="L13" s="685"/>
    </row>
    <row r="14" spans="1:25" ht="7.5" thickTop="1">
      <c r="A14" s="320" t="str">
        <f>IF(ABS($D$13-$L$18)&lt;0.0001," ",B14-D14)</f>
        <v xml:space="preserve"> </v>
      </c>
      <c r="B14" s="320" t="str">
        <f>IF(ABS($D$13-$L$18)&lt;0.0001," ",D13)</f>
        <v xml:space="preserve"> </v>
      </c>
      <c r="C14" s="717"/>
      <c r="D14" s="320" t="str">
        <f>IF(ABS($D$13-$L$18)&lt;0.0001," ",L18)</f>
        <v xml:space="preserve"> </v>
      </c>
      <c r="E14" s="686"/>
      <c r="F14" s="686"/>
      <c r="G14" s="321"/>
      <c r="H14" s="817" t="str">
        <f>CONCATENATE("EXPENDITURE IN ",B1," TO COVER ",B1+1," COSTS")</f>
        <v>EXPENDITURE IN 2019 TO COVER 2020 COSTS</v>
      </c>
      <c r="I14" s="699"/>
      <c r="J14" s="718"/>
      <c r="K14" s="719"/>
      <c r="L14" s="720">
        <f>IF(R18="None", 0,R18)</f>
        <v>0</v>
      </c>
      <c r="N14" s="721" t="s">
        <v>9</v>
      </c>
      <c r="O14" s="722"/>
      <c r="P14" s="722" t="str">
        <f>CONCATENATE(IF($D$17&gt;$C$17,"Days use - down on last year by ","Days used - up on last year by "),ROUND(($D$17-$C$17)/$D$17*IF($D$17&gt;$C$17,1,-1)*100,0),"%")</f>
        <v>Days use - down on last year by 32%</v>
      </c>
      <c r="Q14" s="722"/>
      <c r="R14" s="722"/>
      <c r="S14" s="722"/>
    </row>
    <row r="15" spans="1:25" ht="11" thickBot="1">
      <c r="A15" s="329" t="s">
        <v>11</v>
      </c>
      <c r="F15" s="686"/>
      <c r="G15" s="321"/>
      <c r="H15" s="819" t="str">
        <f>CONCATENATE("INCOME RECEIVED IN ",B1," FOR ",B1+1)</f>
        <v>INCOME RECEIVED IN 2019 FOR 2020</v>
      </c>
      <c r="L15" s="685">
        <f>-IF(R17="None", 0,R17)</f>
        <v>0</v>
      </c>
      <c r="N15" s="723"/>
      <c r="O15" s="723"/>
      <c r="P15" s="723" t="s">
        <v>10</v>
      </c>
      <c r="Q15" s="723" t="str">
        <f>CONCATENATE(TRIP_ACCOUNTS!U123," out of ",TRIP_ACCOUNTS!U124, " scheduled weeks" )</f>
        <v>12 out of 12 scheduled weeks</v>
      </c>
      <c r="R15" s="692"/>
      <c r="S15" s="723"/>
      <c r="T15" s="817"/>
    </row>
    <row r="16" spans="1:25" ht="8.65" customHeight="1" thickTop="1">
      <c r="A16" s="678"/>
      <c r="B16" s="327"/>
      <c r="C16" s="678" t="s">
        <v>12</v>
      </c>
      <c r="D16" s="724" t="s">
        <v>13</v>
      </c>
      <c r="E16" s="724" t="s">
        <v>162</v>
      </c>
      <c r="F16" s="686"/>
      <c r="G16" s="321"/>
      <c r="H16" s="686" t="str">
        <f>CONCATENATE($B$1, " INCOME  EXPECTED IN ",$B$1+1 )</f>
        <v>2019 INCOME  EXPECTED IN 2020</v>
      </c>
      <c r="L16" s="685">
        <f>-IF(T17="None", 0,T17)</f>
        <v>0</v>
      </c>
      <c r="N16" s="725"/>
      <c r="O16" s="725"/>
      <c r="P16" s="725"/>
      <c r="Q16" s="725" t="s">
        <v>215</v>
      </c>
      <c r="R16" s="712"/>
      <c r="S16" s="725"/>
    </row>
    <row r="17" spans="1:25" ht="8.65" customHeight="1">
      <c r="A17" s="321" t="s">
        <v>14</v>
      </c>
      <c r="C17" s="726">
        <f>+TRIP_ACCOUNTS!U118</f>
        <v>52</v>
      </c>
      <c r="D17" s="726">
        <v>76.5</v>
      </c>
      <c r="E17" s="727">
        <v>64</v>
      </c>
      <c r="F17" s="686"/>
      <c r="G17" s="321"/>
      <c r="H17" s="686" t="str">
        <f>CONCATENATE($B$1, " CHARGES  EXPECTED IN ",$B$1+1 )</f>
        <v>2019 CHARGES  EXPECTED IN 2020</v>
      </c>
      <c r="L17" s="685">
        <f>-IF(T18="None", 0,T18)</f>
        <v>0</v>
      </c>
      <c r="N17" s="728" t="s">
        <v>192</v>
      </c>
      <c r="P17" s="817" t="str">
        <f>CONCATENATE("Income: ",Summary!$B$1+1," recv'd early")</f>
        <v>Income: 2020 recv'd early</v>
      </c>
      <c r="R17" s="817" t="s">
        <v>197</v>
      </c>
      <c r="S17" s="817" t="str">
        <f>CONCATENATE(Summary!$B$1," expected ",Summary!$B$1+1)</f>
        <v>2019 expected 2020</v>
      </c>
      <c r="T17" s="793" t="s">
        <v>197</v>
      </c>
    </row>
    <row r="18" spans="1:25" ht="7.5" thickBot="1">
      <c r="A18" s="729" t="s">
        <v>15</v>
      </c>
      <c r="B18" s="730"/>
      <c r="C18" s="731">
        <f>+TRIP_ACCOUNTS!U119</f>
        <v>135</v>
      </c>
      <c r="D18" s="731">
        <v>149.5</v>
      </c>
      <c r="E18" s="732">
        <v>122</v>
      </c>
      <c r="F18" s="686"/>
      <c r="G18" s="322" t="str">
        <f>IF(T1&gt;DATE(B1+1,1,25),"EFFECTIVE YEAR-END BALANCE","CURRENT BALANCE AFTER ALL CHEQUES AND DEPOSITS")</f>
        <v>CURRENT BALANCE AFTER ALL CHEQUES AND DEPOSITS</v>
      </c>
      <c r="H18" s="323"/>
      <c r="I18" s="323"/>
      <c r="J18" s="323"/>
      <c r="K18" s="323"/>
      <c r="L18" s="733">
        <f>SUM(L11:L17)</f>
        <v>9265.4700000000012</v>
      </c>
      <c r="P18" s="817" t="str">
        <f>CONCATENATE("Outlay: ",Summary!$B$1+1," paid early")</f>
        <v>Outlay: 2020 paid early</v>
      </c>
      <c r="Q18" s="817"/>
      <c r="R18" s="817" t="s">
        <v>197</v>
      </c>
      <c r="S18" s="817" t="str">
        <f>CONCATENATE(Summary!$B$1," expected ",Summary!$B$1-2000+1)</f>
        <v>2019 expected 20</v>
      </c>
      <c r="T18" s="793" t="s">
        <v>197</v>
      </c>
      <c r="Y18" s="817"/>
    </row>
    <row r="19" spans="1:25" ht="8" thickTop="1" thickBot="1">
      <c r="T19" s="734"/>
    </row>
    <row r="20" spans="1:25" ht="8" thickTop="1" thickBot="1">
      <c r="A20" s="327"/>
      <c r="B20" s="327"/>
      <c r="C20" s="327"/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7"/>
    </row>
    <row r="21" spans="1:25" ht="14" thickTop="1" thickBot="1">
      <c r="A21" s="869" t="s">
        <v>16</v>
      </c>
      <c r="D21" s="510" t="s">
        <v>17</v>
      </c>
      <c r="I21" s="678" t="s">
        <v>18</v>
      </c>
      <c r="J21" s="735" t="s">
        <v>19</v>
      </c>
      <c r="K21" s="736" t="s">
        <v>112</v>
      </c>
      <c r="L21" s="679"/>
      <c r="N21" s="737" t="str">
        <f>IF(ABS(K32)&gt;ABS(J27*0.05),IF(K32&lt;0,CONCATENATE("Under Budget by: £",ABS(ROUND(K32,2))),CONCATENATE("Over budget by: £",ABS(ROUND(K32,2)))),IF(K32&lt;0,CONCATENATE("Within 5% of budget; less than budget by: £",ABS(ROUND(K32,2))),CONCATENATE("Within 5% of budget; more than budget by only £",ABS(ROUND(K32,2)))))</f>
        <v>Over budget by: £977.78</v>
      </c>
      <c r="O21" s="737"/>
      <c r="T21" s="737"/>
    </row>
    <row r="22" spans="1:25" ht="10.5" thickTop="1">
      <c r="A22" s="870"/>
      <c r="D22" s="738" t="s">
        <v>190</v>
      </c>
      <c r="E22" s="327"/>
      <c r="F22" s="327"/>
      <c r="G22" s="327"/>
      <c r="H22" s="327"/>
      <c r="I22" s="739">
        <f>B28</f>
        <v>3655</v>
      </c>
      <c r="J22" s="740">
        <f>VALUE(RIGHT(LEFT(D22,FIND("shares",D22)-2),FIND("shares",D22)-FIND("=",D22)-3))*VALUE(RIGHT(D22,3))</f>
        <v>3655</v>
      </c>
      <c r="K22" s="741">
        <f>I22-J22</f>
        <v>0</v>
      </c>
      <c r="L22" s="742" t="str">
        <f>IF(I22-J22-K22&lt;0.0000001,"","see provisions")</f>
        <v/>
      </c>
      <c r="N22" s="671"/>
      <c r="O22" s="671"/>
      <c r="P22" s="671"/>
    </row>
    <row r="23" spans="1:25" ht="10.5" thickBot="1">
      <c r="A23" s="870"/>
      <c r="D23" s="321" t="s">
        <v>20</v>
      </c>
      <c r="I23" s="741">
        <f>B27</f>
        <v>1430</v>
      </c>
      <c r="J23" s="743">
        <v>900</v>
      </c>
      <c r="K23" s="741">
        <f>I23-J23</f>
        <v>530</v>
      </c>
      <c r="L23" s="744" t="str">
        <f>IF(I23-J23-K23&lt;0.0000001,"","see provisions")</f>
        <v/>
      </c>
      <c r="N23" s="671" t="str">
        <f>CONCATENATE("Non participants - (£",K23,")")</f>
        <v>Non participants - (£530)</v>
      </c>
      <c r="R23" s="873" t="s">
        <v>171</v>
      </c>
      <c r="S23" s="870"/>
      <c r="T23" s="870"/>
    </row>
    <row r="24" spans="1:25" ht="11.5" thickTop="1" thickBot="1">
      <c r="A24" s="329" t="s">
        <v>22</v>
      </c>
      <c r="B24" s="724" t="s">
        <v>24</v>
      </c>
      <c r="D24" s="321" t="s">
        <v>21</v>
      </c>
      <c r="E24" s="692"/>
      <c r="F24" s="692"/>
      <c r="G24" s="692"/>
      <c r="H24" s="692"/>
      <c r="I24" s="741">
        <f>B25-B42</f>
        <v>-50.899999999999977</v>
      </c>
      <c r="J24" s="743">
        <v>0</v>
      </c>
      <c r="K24" s="741">
        <f>I24-J24</f>
        <v>-50.899999999999977</v>
      </c>
      <c r="L24" s="744" t="str">
        <f>IF(I24-J24-K24&lt;0.0000001,"","see provisions")</f>
        <v/>
      </c>
      <c r="N24" s="671" t="s">
        <v>163</v>
      </c>
      <c r="O24" s="671"/>
      <c r="R24" s="745"/>
    </row>
    <row r="25" spans="1:25" ht="10.5" thickTop="1">
      <c r="A25" s="678" t="s">
        <v>25</v>
      </c>
      <c r="B25" s="746">
        <f>+TRIP_ACCOUNTS!U126</f>
        <v>300</v>
      </c>
      <c r="D25" s="321" t="s">
        <v>23</v>
      </c>
      <c r="I25" s="741">
        <f>B26-B40</f>
        <v>498.68000000000006</v>
      </c>
      <c r="J25" s="741">
        <v>0</v>
      </c>
      <c r="K25" s="741">
        <f>ROUND(I25-J25,2)</f>
        <v>498.68</v>
      </c>
      <c r="L25" s="744" t="str">
        <f>IF(I25-J25-K25&lt;0.0000001,"","see provisions")</f>
        <v/>
      </c>
      <c r="O25" s="671"/>
    </row>
    <row r="26" spans="1:25">
      <c r="A26" s="321" t="s">
        <v>26</v>
      </c>
      <c r="B26" s="747">
        <f>+TRIP_ACCOUNTS!U127</f>
        <v>1385</v>
      </c>
      <c r="D26" s="321">
        <f>A29</f>
        <v>0</v>
      </c>
      <c r="I26" s="533">
        <f>B29</f>
        <v>0</v>
      </c>
      <c r="J26" s="533"/>
      <c r="K26" s="741">
        <f>ROUND(I26-J26,2)</f>
        <v>0</v>
      </c>
      <c r="L26" s="744"/>
    </row>
    <row r="27" spans="1:25" ht="10.5" thickBot="1">
      <c r="A27" s="321" t="s">
        <v>29</v>
      </c>
      <c r="B27" s="747">
        <f>+TRIP_ACCOUNTS!U128</f>
        <v>1430</v>
      </c>
      <c r="D27" s="748" t="str">
        <f>CONCATENATE("ANNUAL INCOME FOR ",$B$1)</f>
        <v>ANNUAL INCOME FOR 2019</v>
      </c>
      <c r="E27" s="749"/>
      <c r="F27" s="749"/>
      <c r="G27" s="749"/>
      <c r="H27" s="749"/>
      <c r="I27" s="750">
        <f>SUM(I22:I26)</f>
        <v>5532.7800000000007</v>
      </c>
      <c r="J27" s="750">
        <f>SUM(J22:J26)</f>
        <v>4555</v>
      </c>
      <c r="K27" s="751">
        <f>SUM(K22:K26)</f>
        <v>977.78</v>
      </c>
      <c r="L27" s="752"/>
      <c r="Q27" s="753">
        <f>+$B$1</f>
        <v>2019</v>
      </c>
      <c r="R27" s="753">
        <v>2018</v>
      </c>
      <c r="S27" s="753">
        <v>2017</v>
      </c>
      <c r="T27" s="753">
        <v>2016</v>
      </c>
    </row>
    <row r="28" spans="1:25" ht="10.5" thickTop="1">
      <c r="A28" s="321" t="s">
        <v>31</v>
      </c>
      <c r="B28" s="747">
        <f>+'PROVISIONS &amp; SUBS'!K16</f>
        <v>3655</v>
      </c>
      <c r="D28" s="703" t="str">
        <f>CONCATENATE("FUNDS BROUGHT FORWARD FROM  ",$B$1-1," BUDGET" )</f>
        <v>FUNDS BROUGHT FORWARD FROM  2018 BUDGET</v>
      </c>
      <c r="E28" s="704"/>
      <c r="F28" s="704"/>
      <c r="G28" s="704"/>
      <c r="H28" s="704"/>
      <c r="I28" s="754"/>
      <c r="J28" s="754"/>
      <c r="K28" s="755"/>
      <c r="L28" s="705"/>
      <c r="N28" s="320" t="s">
        <v>27</v>
      </c>
      <c r="O28" s="756" t="s">
        <v>28</v>
      </c>
      <c r="Q28" s="320">
        <f>(B37+B38)/(C17+0.000001)</f>
        <v>9.2251921302847659</v>
      </c>
      <c r="R28" s="320">
        <v>11.853594616292881</v>
      </c>
      <c r="S28" s="320">
        <v>9.3039061046264688</v>
      </c>
      <c r="T28" s="320">
        <v>13.815613792708531</v>
      </c>
      <c r="U28" s="734"/>
    </row>
    <row r="29" spans="1:25" hidden="1">
      <c r="A29" s="321"/>
      <c r="B29" s="747"/>
      <c r="D29" s="693" t="str">
        <f>CONCATENATE("    Expenses unpaid in ",$B$1-1,", provisioned into ",$B$1)</f>
        <v xml:space="preserve">    Expenses unpaid in 2018, provisioned into 2019</v>
      </c>
      <c r="I29" s="743">
        <f>J29</f>
        <v>0</v>
      </c>
      <c r="J29" s="743"/>
      <c r="K29" s="741">
        <f>J29-I29</f>
        <v>0</v>
      </c>
      <c r="L29" s="700"/>
      <c r="U29" s="734"/>
    </row>
    <row r="30" spans="1:25" ht="10">
      <c r="A30" s="321"/>
      <c r="B30" s="747">
        <f>'PROVISIONS &amp; SUBS'!K17</f>
        <v>0</v>
      </c>
      <c r="D30" s="693" t="str">
        <f>CONCATENATE("    Net provision recieved from or paid to year ",$B$1-1)</f>
        <v xml:space="preserve">    Net provision recieved from or paid to year 2018</v>
      </c>
      <c r="H30" s="757"/>
      <c r="I30" s="743">
        <v>31.37</v>
      </c>
      <c r="J30" s="533">
        <v>31.37</v>
      </c>
      <c r="K30" s="741">
        <f>I30-J30</f>
        <v>0</v>
      </c>
      <c r="L30" s="700"/>
      <c r="N30" s="320" t="s">
        <v>27</v>
      </c>
      <c r="O30" s="756" t="s">
        <v>30</v>
      </c>
      <c r="Q30" s="320">
        <f>B36/(C17+0.000001)</f>
        <v>7.6280767763831383</v>
      </c>
      <c r="R30" s="320">
        <v>8.3573855116681628</v>
      </c>
      <c r="S30" s="320">
        <v>7.7524998788671891</v>
      </c>
      <c r="T30" s="320">
        <v>9.8156138628839678</v>
      </c>
      <c r="U30" s="734"/>
    </row>
    <row r="31" spans="1:25" ht="10.5" thickBot="1">
      <c r="A31" s="322" t="s">
        <v>34</v>
      </c>
      <c r="B31" s="758">
        <f>SUM(B25:B30)</f>
        <v>6770</v>
      </c>
      <c r="D31" s="321" t="str">
        <f>CONCATENATE("    Floating fund brought forward from end of year ",$B$1-1)</f>
        <v xml:space="preserve">    Floating fund brought forward from end of year 2018</v>
      </c>
      <c r="I31" s="743">
        <f>J31</f>
        <v>7296.26</v>
      </c>
      <c r="J31" s="743">
        <f>L9</f>
        <v>7296.26</v>
      </c>
      <c r="K31" s="741">
        <f>J31-I31</f>
        <v>0</v>
      </c>
      <c r="L31" s="700"/>
      <c r="N31" s="320" t="s">
        <v>32</v>
      </c>
      <c r="O31" s="756" t="s">
        <v>33</v>
      </c>
      <c r="Q31" s="320">
        <f>B41/(TRIP_ACCOUNTS!U123+0.000001)</f>
        <v>29.241664229861314</v>
      </c>
      <c r="R31" s="320">
        <v>27.141109603271687</v>
      </c>
      <c r="S31" s="320">
        <v>20.931175239342632</v>
      </c>
      <c r="T31" s="320">
        <v>24.443844273550447</v>
      </c>
    </row>
    <row r="32" spans="1:25" ht="8" thickTop="1" thickBot="1">
      <c r="D32" s="322" t="s">
        <v>35</v>
      </c>
      <c r="E32" s="323"/>
      <c r="F32" s="323"/>
      <c r="G32" s="323"/>
      <c r="H32" s="323"/>
      <c r="I32" s="531">
        <f>SUM(I27:I31)</f>
        <v>12860.41</v>
      </c>
      <c r="J32" s="531">
        <f>SUM(J27:J31)</f>
        <v>11882.630000000001</v>
      </c>
      <c r="K32" s="759">
        <f>SUM(K27:K31)</f>
        <v>977.78</v>
      </c>
      <c r="L32" s="760"/>
    </row>
    <row r="33" spans="1:23" ht="8" thickTop="1" thickBot="1">
      <c r="A33" s="730"/>
      <c r="B33" s="730"/>
      <c r="C33" s="730"/>
      <c r="D33" s="730"/>
      <c r="E33" s="730"/>
      <c r="F33" s="730"/>
      <c r="G33" s="730"/>
      <c r="H33" s="730"/>
      <c r="I33" s="730"/>
      <c r="J33" s="730"/>
      <c r="K33" s="730"/>
      <c r="L33" s="730"/>
      <c r="M33" s="730"/>
      <c r="N33" s="730"/>
      <c r="O33" s="730"/>
      <c r="P33" s="730"/>
      <c r="Q33" s="730"/>
      <c r="R33" s="730"/>
      <c r="S33" s="730"/>
      <c r="T33" s="730"/>
    </row>
    <row r="34" spans="1:23" ht="11.5" thickTop="1" thickBot="1">
      <c r="A34" s="329" t="s">
        <v>36</v>
      </c>
      <c r="D34" s="871" t="s">
        <v>37</v>
      </c>
      <c r="E34" s="872"/>
      <c r="F34" s="872"/>
      <c r="G34" s="872"/>
      <c r="H34" s="872"/>
      <c r="I34" s="872"/>
      <c r="J34" s="686"/>
      <c r="K34" s="761" t="str">
        <f>IF(I32-I51&lt;0.01," ",CONCATENATE("Expenditure/Income inbalance by ",TEXT(I32-I51,"£0.00")))</f>
        <v xml:space="preserve"> </v>
      </c>
    </row>
    <row r="35" spans="1:23" ht="9.75" customHeight="1" thickTop="1" thickBot="1">
      <c r="A35" s="678" t="s">
        <v>38</v>
      </c>
      <c r="B35" s="762" t="s">
        <v>24</v>
      </c>
      <c r="D35" s="870"/>
      <c r="E35" s="870"/>
      <c r="F35" s="870"/>
      <c r="G35" s="870"/>
      <c r="H35" s="870"/>
      <c r="I35" s="870"/>
      <c r="N35" s="874" t="str">
        <f>IF(ABS(SUM(K46:K49))&gt;ABS(SUM(J46:J49)*0.05),IF(SUM(K46:K49)&gt;0,CONCATENATE("Under Budget by: £",ABS(ROUND(SUM(K46:K49),2))),CONCATENATE("Over budget by: £",ABS(ROUND(SUM(K46:K49),2)))),IF(SUM(K46:K49)&gt;0,CONCATENATE("Within 5% of budget; less than budget by: £",ABS(ROUND(SUM(K46:K49),2))),CONCATENATE("Within 5% of budget; more than budget by only £",ABS(ROUND(SUM(K46:K49),2)))))</f>
        <v>Under Budget by: £744.43</v>
      </c>
      <c r="O35" s="870"/>
      <c r="P35" s="870"/>
      <c r="Q35" s="870"/>
      <c r="R35" s="870"/>
      <c r="S35" s="870"/>
      <c r="T35" s="870"/>
    </row>
    <row r="36" spans="1:23" ht="8.25" customHeight="1" thickTop="1">
      <c r="A36" s="703" t="s">
        <v>39</v>
      </c>
      <c r="B36" s="746">
        <f>+TRIP_ACCOUNTS!U131</f>
        <v>396.65999999999997</v>
      </c>
      <c r="C36" s="321"/>
      <c r="D36" s="870"/>
      <c r="E36" s="870"/>
      <c r="F36" s="870"/>
      <c r="G36" s="870"/>
      <c r="H36" s="870"/>
      <c r="I36" s="870"/>
      <c r="J36" s="692"/>
      <c r="N36" s="870"/>
      <c r="O36" s="870"/>
      <c r="P36" s="870"/>
      <c r="Q36" s="870"/>
      <c r="R36" s="870"/>
      <c r="S36" s="870"/>
      <c r="T36" s="870"/>
      <c r="U36" s="682"/>
    </row>
    <row r="37" spans="1:23" ht="11" thickBot="1">
      <c r="A37" s="818" t="s">
        <v>211</v>
      </c>
      <c r="B37" s="747">
        <f>+TRIP_ACCOUNTS!U132</f>
        <v>430.21</v>
      </c>
      <c r="C37" s="321"/>
      <c r="D37" s="510" t="s">
        <v>42</v>
      </c>
      <c r="E37" s="510"/>
    </row>
    <row r="38" spans="1:23" ht="11.5" thickTop="1" thickBot="1">
      <c r="A38" s="321" t="s">
        <v>41</v>
      </c>
      <c r="B38" s="747">
        <f>+TRIP_ACCOUNTS!U133</f>
        <v>49.5</v>
      </c>
      <c r="C38" s="321"/>
      <c r="F38" s="510"/>
      <c r="G38" s="510"/>
      <c r="H38" s="510"/>
      <c r="I38" s="678" t="s">
        <v>18</v>
      </c>
      <c r="J38" s="735" t="s">
        <v>19</v>
      </c>
      <c r="K38" s="736" t="s">
        <v>112</v>
      </c>
      <c r="L38" s="679"/>
      <c r="N38" s="761"/>
      <c r="O38" s="671" t="str">
        <f>CONCATENATE("CRT Moorings budget ",IF(TRIP_ACCOUNTS!U148/P39&gt;1.05,"TOO SMALL",IF(TRIP_ACCOUNTS!U148/P39&lt;0.95,"OVER ESTIMATED","ABOUT RIGHT")))</f>
        <v>CRT Moorings budget OVER ESTIMATED</v>
      </c>
    </row>
    <row r="39" spans="1:23" ht="10.5" thickTop="1">
      <c r="A39" s="321" t="s">
        <v>43</v>
      </c>
      <c r="B39" s="747">
        <f>+TRIP_ACCOUNTS!U134</f>
        <v>9.9499999999999993</v>
      </c>
      <c r="C39" s="321"/>
      <c r="D39" s="678" t="s">
        <v>111</v>
      </c>
      <c r="E39" s="327"/>
      <c r="F39" s="327"/>
      <c r="G39" s="327"/>
      <c r="H39" s="327"/>
      <c r="I39" s="740">
        <f>B46</f>
        <v>2642.02</v>
      </c>
      <c r="J39" s="740">
        <v>2850</v>
      </c>
      <c r="K39" s="739">
        <f>J39-I39</f>
        <v>207.98000000000002</v>
      </c>
      <c r="L39" s="763" t="str">
        <f t="shared" ref="L39:L42" si="0">IF(J39-I39=K39,"","see provisions")</f>
        <v/>
      </c>
      <c r="P39" s="764">
        <v>758.1</v>
      </c>
      <c r="Q39" s="671" t="str">
        <f>CONCATENATE("budgeted versus £",TRIP_ACCOUNTS!U148, " spent")</f>
        <v>budgeted versus £573.55 spent</v>
      </c>
      <c r="W39" s="765"/>
    </row>
    <row r="40" spans="1:23" ht="10.5" thickBot="1">
      <c r="A40" s="689" t="s">
        <v>44</v>
      </c>
      <c r="B40" s="766">
        <f>SUM(B36:B39)</f>
        <v>886.31999999999994</v>
      </c>
      <c r="C40" s="321"/>
      <c r="D40" s="321" t="s">
        <v>115</v>
      </c>
      <c r="I40" s="743">
        <f>L82-D9</f>
        <v>287.67</v>
      </c>
      <c r="J40" s="743">
        <v>400</v>
      </c>
      <c r="K40" s="741">
        <f>J40-I40</f>
        <v>112.32999999999998</v>
      </c>
      <c r="L40" s="744" t="str">
        <f t="shared" si="0"/>
        <v/>
      </c>
      <c r="O40" s="671" t="str">
        <f>CONCATENATE("Occasional moorings budget ",IF(TRIP_ACCOUNTS!U150/P41&gt;1.1,"TOO SMALL",IF(TRIP_ACCOUNTS!U150/P41&lt;0.5,"OVER ESTIMATED","ABOUT RIGHT")))</f>
        <v>Occasional moorings budget ABOUT RIGHT</v>
      </c>
    </row>
    <row r="41" spans="1:23" ht="10.5" thickTop="1">
      <c r="A41" s="678" t="s">
        <v>45</v>
      </c>
      <c r="B41" s="767">
        <f>+TRIP_ACCOUNTS!U136</f>
        <v>350.9</v>
      </c>
      <c r="C41" s="321"/>
      <c r="D41" s="818" t="s">
        <v>213</v>
      </c>
      <c r="I41" s="743">
        <f>B44</f>
        <v>551.74</v>
      </c>
      <c r="J41" s="743">
        <f>+D94</f>
        <v>958</v>
      </c>
      <c r="K41" s="741">
        <f>J41-I41</f>
        <v>406.26</v>
      </c>
      <c r="L41" s="744" t="str">
        <f t="shared" si="0"/>
        <v/>
      </c>
      <c r="P41" s="768">
        <v>1300</v>
      </c>
      <c r="Q41" s="671" t="str">
        <f>CONCATENATE("budgeted versus £",TEXT(TRIP_ACCOUNTS!U150,"0.00")," spent")</f>
        <v>budgeted versus £725.00 spent</v>
      </c>
    </row>
    <row r="42" spans="1:23" ht="10.5" thickBot="1">
      <c r="A42" s="689" t="s">
        <v>46</v>
      </c>
      <c r="B42" s="766">
        <f>B41</f>
        <v>350.9</v>
      </c>
      <c r="C42" s="321"/>
      <c r="D42" s="818" t="s">
        <v>214</v>
      </c>
      <c r="E42" s="692"/>
      <c r="F42" s="692"/>
      <c r="G42" s="692"/>
      <c r="H42" s="692"/>
      <c r="I42" s="769">
        <f>B47</f>
        <v>100</v>
      </c>
      <c r="J42" s="769">
        <v>100</v>
      </c>
      <c r="K42" s="741">
        <f>J42-I42</f>
        <v>0</v>
      </c>
      <c r="L42" s="744" t="str">
        <f t="shared" si="0"/>
        <v/>
      </c>
      <c r="O42" s="671" t="str">
        <f>CONCATENATE("Licence budget ",IF(TRIP_ACCOUNTS!U149/P43&gt;1.05,"TOO SMALL",IF(TRIP_ACCOUNTS!U149/P43&lt;0.95,"OVER ESTIMATED","ABOUT RIGHT")))</f>
        <v>Licence budget ABOUT RIGHT</v>
      </c>
    </row>
    <row r="43" spans="1:23" ht="11" thickTop="1" thickBot="1">
      <c r="A43" s="678" t="s">
        <v>47</v>
      </c>
      <c r="B43" s="679"/>
      <c r="C43" s="321"/>
      <c r="D43" s="321" t="s">
        <v>48</v>
      </c>
      <c r="I43" s="743"/>
      <c r="J43" s="743">
        <v>0</v>
      </c>
      <c r="K43" s="741">
        <f>J43-I43</f>
        <v>0</v>
      </c>
      <c r="L43" s="744" t="str">
        <f>IF(J43-I43=K43,"","see provisions")</f>
        <v/>
      </c>
      <c r="P43" s="764">
        <v>1057.8800000000001</v>
      </c>
      <c r="Q43" s="671" t="str">
        <f>CONCATENATE("budgeted versus £",TEXT(TRIP_ACCOUNTS!U149,"0.00"), " spent")</f>
        <v>budgeted versus £1076.88 spent</v>
      </c>
    </row>
    <row r="44" spans="1:23" ht="10.5" thickTop="1">
      <c r="A44" s="703" t="s">
        <v>49</v>
      </c>
      <c r="B44" s="746">
        <f>+TRIP_ACCOUNTS!U138</f>
        <v>551.74</v>
      </c>
      <c r="C44" s="321"/>
      <c r="D44" s="818" t="s">
        <v>244</v>
      </c>
      <c r="I44" s="743">
        <f>C99</f>
        <v>0</v>
      </c>
      <c r="J44" s="743"/>
      <c r="K44" s="741"/>
      <c r="L44" s="770" t="str">
        <f>IF(J44-I44=K44,"","see provisions")</f>
        <v/>
      </c>
      <c r="O44" s="671" t="str">
        <f>CONCATENATE("Insurance budget ",IF(TRIP_ACCOUNTS!U147/P45&gt;1.05,"TOO SMALL",IF(TRIP_ACCOUNTS!U147/P45&lt;0.95,"OVER ESTIMATED","ABOUT RIGHT")))</f>
        <v>Insurance budget OVER ESTIMATED</v>
      </c>
    </row>
    <row r="45" spans="1:23" ht="10">
      <c r="A45" s="818" t="s">
        <v>212</v>
      </c>
      <c r="B45" s="747">
        <f>+'OTHER COSTS'!BT41</f>
        <v>287.66999999999996</v>
      </c>
      <c r="C45" s="321"/>
      <c r="D45" s="321"/>
      <c r="I45" s="743"/>
      <c r="J45" s="533"/>
      <c r="K45" s="741"/>
      <c r="L45" s="744" t="str">
        <f>IF(J45-I45=K45,"","provisions")</f>
        <v/>
      </c>
      <c r="P45" s="764">
        <v>283.45</v>
      </c>
      <c r="Q45" s="671" t="str">
        <f>CONCATENATE("budgeted versus £",TEXT(TRIP_ACCOUNTS!U147,"0.00"), " spent")</f>
        <v>budgeted versus £266.59 spent</v>
      </c>
    </row>
    <row r="46" spans="1:23" ht="10.5" thickBot="1">
      <c r="A46" s="321" t="s">
        <v>51</v>
      </c>
      <c r="B46" s="747">
        <f>+TRIP_ACCOUNTS!U141</f>
        <v>2642.02</v>
      </c>
      <c r="D46" s="748" t="str">
        <f>CONCATENATE("ANNUAL EXPENDITURE (EX RUNNING COSTS) FOR ",$B$1)</f>
        <v>ANNUAL EXPENDITURE (EX RUNNING COSTS) FOR 2019</v>
      </c>
      <c r="E46" s="749"/>
      <c r="F46" s="749"/>
      <c r="G46" s="749"/>
      <c r="H46" s="749"/>
      <c r="I46" s="750">
        <f>SUM(I39:I45)</f>
        <v>3581.4300000000003</v>
      </c>
      <c r="J46" s="750">
        <f>SUM(J39:J45)</f>
        <v>4308</v>
      </c>
      <c r="K46" s="751">
        <f>SUM(K39:K45)</f>
        <v>726.56999999999994</v>
      </c>
      <c r="L46" s="752"/>
      <c r="O46" s="671" t="str">
        <f>CONCATENATE("Emergencies &amp; unplanned budgets ",IF(I40/J40&gt;1.1,"TOO SMALL",IF(I40/J40&lt;0.5,"OVER ESTIMATED","ABOUT RIGHT")))</f>
        <v>Emergencies &amp; unplanned budgets ABOUT RIGHT</v>
      </c>
    </row>
    <row r="47" spans="1:23" ht="10.5" thickTop="1">
      <c r="A47" s="321" t="s">
        <v>134</v>
      </c>
      <c r="B47" s="747">
        <f>'OTHER COSTS'!BT48</f>
        <v>100</v>
      </c>
      <c r="D47" s="703" t="str">
        <f>CONCATENATE("EXPENSES BROUGHT FORWARD FROM  ",$B$1-1," BUDGET" )</f>
        <v>EXPENSES BROUGHT FORWARD FROM  2018 BUDGET</v>
      </c>
      <c r="E47" s="704"/>
      <c r="F47" s="704"/>
      <c r="G47" s="704"/>
      <c r="H47" s="704"/>
      <c r="I47" s="754"/>
      <c r="J47" s="754"/>
      <c r="K47" s="755"/>
      <c r="L47" s="705"/>
      <c r="P47" s="764" t="str">
        <f>CONCATENATE("£",TEXT(ABS(J40),"0.00")," budgeted, £",TEXT(ABS(K40),"0.00"),IF(K40&gt;0, " unused"," overspent"))</f>
        <v>£400.00 budgeted, £112.33 unused</v>
      </c>
      <c r="R47" s="771"/>
      <c r="T47" s="793" t="s">
        <v>199</v>
      </c>
    </row>
    <row r="48" spans="1:23" ht="10">
      <c r="A48" s="321" t="s">
        <v>52</v>
      </c>
      <c r="B48" s="772">
        <v>0</v>
      </c>
      <c r="C48" s="321"/>
      <c r="D48" s="321"/>
      <c r="I48" s="743">
        <f>+J48</f>
        <v>0</v>
      </c>
      <c r="J48" s="861"/>
      <c r="K48" s="741">
        <f>I48-J48</f>
        <v>0</v>
      </c>
      <c r="L48" s="700"/>
      <c r="O48" s="671" t="str">
        <f>CONCATENATE("Scheduled maintenance budgets ",IF(-K41&gt;200,"TOO SMALL",IF(K41&gt;200,"OVER ESTIMATED","ABOUT RIGHT")))</f>
        <v>Scheduled maintenance budgets OVER ESTIMATED</v>
      </c>
    </row>
    <row r="49" spans="1:27" ht="10.5" thickBot="1">
      <c r="A49" s="855" t="s">
        <v>81</v>
      </c>
      <c r="B49" s="773">
        <f>+TRIP_ACCOUNTS!U140</f>
        <v>0</v>
      </c>
      <c r="C49" s="321"/>
      <c r="D49" s="693" t="str">
        <f>CONCATENATE("Outlay against provision from ",$B$1-1,",  paid /received in ",$B$1)</f>
        <v>Outlay against provision from 2018,  paid /received in 2019</v>
      </c>
      <c r="H49" s="757"/>
      <c r="I49" s="793">
        <f>31.37-17.86</f>
        <v>13.510000000000002</v>
      </c>
      <c r="J49" s="862">
        <v>31.37</v>
      </c>
      <c r="K49" s="741">
        <f>J49-I49</f>
        <v>17.86</v>
      </c>
      <c r="L49" s="700"/>
      <c r="P49" s="671" t="str">
        <f>CONCATENATE("£",TEXT(ABS(J41),"0.00")," budgeted, ",TEXT(ABS(K41),"£0.00"),IF(K41&lt;0," overspent"," unused"))</f>
        <v>£958.00 budgeted, £406.26 unused</v>
      </c>
      <c r="T49" s="793" t="s">
        <v>199</v>
      </c>
    </row>
    <row r="50" spans="1:27" ht="11" thickTop="1" thickBot="1">
      <c r="A50" s="703" t="s">
        <v>53</v>
      </c>
      <c r="B50" s="774">
        <f>SUM(B42:B49)+B40</f>
        <v>4818.6499999999996</v>
      </c>
      <c r="C50" s="321"/>
      <c r="D50" s="321" t="str">
        <f>CONCATENATE("CARRIED FORWARD INTO ",$B$1+1," - End of ",$B$1," floating fund")</f>
        <v>CARRIED FORWARD INTO 2020 - End of 2019 floating fund</v>
      </c>
      <c r="I50" s="743">
        <f>D13</f>
        <v>9265.4700000000012</v>
      </c>
      <c r="J50" s="743">
        <f>J32-J46-J48-J49</f>
        <v>7543.2600000000011</v>
      </c>
      <c r="K50" s="741">
        <f>I50-J50</f>
        <v>1722.21</v>
      </c>
      <c r="L50" s="775"/>
      <c r="O50" s="671"/>
    </row>
    <row r="51" spans="1:27" ht="11" thickTop="1" thickBot="1">
      <c r="A51" s="713" t="s">
        <v>55</v>
      </c>
      <c r="B51" s="776">
        <f>SUM(B50:B50)</f>
        <v>4818.6499999999996</v>
      </c>
      <c r="D51" s="322" t="s">
        <v>56</v>
      </c>
      <c r="E51" s="323"/>
      <c r="F51" s="323"/>
      <c r="G51" s="323"/>
      <c r="H51" s="323"/>
      <c r="I51" s="531">
        <f>SUM(I46:I50)</f>
        <v>12860.410000000002</v>
      </c>
      <c r="J51" s="531">
        <f>SUM(J46:J50)</f>
        <v>11882.630000000001</v>
      </c>
      <c r="K51" s="759">
        <f>J51-I51</f>
        <v>-977.78000000000065</v>
      </c>
      <c r="L51" s="777"/>
      <c r="P51" s="764"/>
      <c r="R51" s="771"/>
    </row>
    <row r="52" spans="1:27" ht="8" thickTop="1" thickBot="1"/>
    <row r="53" spans="1:27" ht="31" thickTop="1" thickBot="1">
      <c r="A53" s="510" t="s">
        <v>49</v>
      </c>
      <c r="C53" s="159" t="s">
        <v>24</v>
      </c>
      <c r="D53" s="520" t="s">
        <v>19</v>
      </c>
      <c r="E53" s="158" t="s">
        <v>91</v>
      </c>
      <c r="F53" s="187" t="s">
        <v>95</v>
      </c>
      <c r="H53" s="778" t="s">
        <v>57</v>
      </c>
      <c r="N53" s="676" t="s">
        <v>3</v>
      </c>
      <c r="O53" s="682"/>
    </row>
    <row r="54" spans="1:27" ht="10.5" thickTop="1">
      <c r="A54" s="553" t="s">
        <v>216</v>
      </c>
      <c r="B54" s="327"/>
      <c r="C54" s="743">
        <f>+MAINTENANCE!BU5</f>
        <v>0</v>
      </c>
      <c r="D54" s="532"/>
      <c r="E54" s="779">
        <f t="shared" ref="E54:E98" si="1">D54-C54</f>
        <v>0</v>
      </c>
      <c r="F54" s="780"/>
      <c r="G54" s="321" t="str">
        <f t="shared" ref="G54:G91" si="2">IF(F54="X","*",IF(OR(F54="P",F54="N"),"",IF(ABS(E54/(D54+0.001))&gt;$J$1,IF(ABS(E54)&gt;20,IF(E54&lt;0,"&gt;","&lt;"),""),"")))</f>
        <v/>
      </c>
      <c r="N54" s="781" t="s">
        <v>59</v>
      </c>
      <c r="P54" s="671"/>
      <c r="Q54" s="671"/>
      <c r="R54" s="671"/>
      <c r="S54" s="671" t="s">
        <v>60</v>
      </c>
      <c r="T54" s="782">
        <f>DSUM($E$53:$F$119,1,W54:W55)</f>
        <v>41.260000000000019</v>
      </c>
      <c r="W54" s="697" t="s">
        <v>96</v>
      </c>
      <c r="X54" s="697" t="s">
        <v>96</v>
      </c>
      <c r="Y54" s="697" t="s">
        <v>96</v>
      </c>
      <c r="Z54" s="320" t="s">
        <v>96</v>
      </c>
      <c r="AA54" s="320" t="s">
        <v>96</v>
      </c>
    </row>
    <row r="55" spans="1:27" ht="10.5" thickBot="1">
      <c r="A55" s="653" t="s">
        <v>172</v>
      </c>
      <c r="C55" s="783">
        <f>+MAINTENANCE!BU6</f>
        <v>16.03</v>
      </c>
      <c r="D55" s="530">
        <v>70</v>
      </c>
      <c r="E55" s="779">
        <f t="shared" si="1"/>
        <v>53.97</v>
      </c>
      <c r="F55" s="784" t="s">
        <v>58</v>
      </c>
      <c r="G55" s="321" t="str">
        <f t="shared" si="2"/>
        <v>&lt;</v>
      </c>
      <c r="N55" s="781" t="s">
        <v>206</v>
      </c>
      <c r="P55" s="671"/>
      <c r="Q55" s="671"/>
      <c r="R55" s="671"/>
      <c r="S55" s="671" t="s">
        <v>207</v>
      </c>
      <c r="T55" s="782">
        <f>DSUM($E$53:$F$119,1,X54:X55)</f>
        <v>30</v>
      </c>
      <c r="W55" s="697" t="s">
        <v>58</v>
      </c>
      <c r="X55" s="817" t="s">
        <v>208</v>
      </c>
      <c r="Y55" s="697" t="s">
        <v>61</v>
      </c>
      <c r="Z55" s="320" t="s">
        <v>64</v>
      </c>
      <c r="AA55" s="320" t="s">
        <v>110</v>
      </c>
    </row>
    <row r="56" spans="1:27" ht="11" thickTop="1">
      <c r="A56" s="653" t="s">
        <v>217</v>
      </c>
      <c r="C56" s="783">
        <f>+MAINTENANCE!BU7</f>
        <v>0</v>
      </c>
      <c r="D56" s="530">
        <v>2</v>
      </c>
      <c r="E56" s="779">
        <f t="shared" si="1"/>
        <v>2</v>
      </c>
      <c r="F56" s="784" t="s">
        <v>58</v>
      </c>
      <c r="G56" s="321" t="str">
        <f t="shared" si="2"/>
        <v/>
      </c>
      <c r="H56" s="510" t="s">
        <v>62</v>
      </c>
      <c r="L56" s="724" t="str">
        <f>C53</f>
        <v>TOTAL</v>
      </c>
      <c r="N56" s="781" t="s">
        <v>135</v>
      </c>
      <c r="P56" s="671"/>
      <c r="Q56" s="671"/>
      <c r="R56" s="671"/>
      <c r="S56" s="671" t="s">
        <v>63</v>
      </c>
      <c r="T56" s="782">
        <f>DSUM($E$53:$F$119,1,Y54:Y55)</f>
        <v>0</v>
      </c>
    </row>
    <row r="57" spans="1:27" ht="10.5" thickBot="1">
      <c r="A57" s="653" t="s">
        <v>218</v>
      </c>
      <c r="C57" s="783">
        <f>+MAINTENANCE!BU8</f>
        <v>0</v>
      </c>
      <c r="D57" s="530">
        <v>40</v>
      </c>
      <c r="E57" s="779">
        <f t="shared" si="1"/>
        <v>40</v>
      </c>
      <c r="F57" s="784" t="s">
        <v>58</v>
      </c>
      <c r="G57" s="321" t="str">
        <f t="shared" si="2"/>
        <v>&lt;</v>
      </c>
      <c r="J57" s="730"/>
      <c r="L57" s="785"/>
      <c r="N57" s="781" t="s">
        <v>141</v>
      </c>
      <c r="P57" s="671"/>
      <c r="Q57" s="671"/>
      <c r="R57" s="671"/>
      <c r="S57" s="671" t="s">
        <v>65</v>
      </c>
      <c r="T57" s="782">
        <f>DSUM($E$53:$F$119,1,Z54:Z55)</f>
        <v>1735</v>
      </c>
      <c r="W57" s="786"/>
    </row>
    <row r="58" spans="1:27" ht="7.5" thickTop="1">
      <c r="A58" s="653" t="s">
        <v>219</v>
      </c>
      <c r="C58" s="783">
        <f>+MAINTENANCE!BU9</f>
        <v>0</v>
      </c>
      <c r="D58" s="530">
        <v>0</v>
      </c>
      <c r="E58" s="779">
        <f t="shared" si="1"/>
        <v>0</v>
      </c>
      <c r="F58" s="784" t="s">
        <v>58</v>
      </c>
      <c r="G58" s="321" t="str">
        <f t="shared" si="2"/>
        <v/>
      </c>
      <c r="H58" s="326" t="str">
        <f>+'OTHER COSTS'!A6</f>
        <v>Starter battery</v>
      </c>
      <c r="I58" s="327"/>
      <c r="J58" s="327"/>
      <c r="K58" s="327"/>
      <c r="L58" s="787">
        <f>+'OTHER COSTS'!BT6</f>
        <v>95</v>
      </c>
      <c r="T58" s="813">
        <f>SUM(T54:T57)</f>
        <v>1806.26</v>
      </c>
      <c r="W58" s="786"/>
    </row>
    <row r="59" spans="1:27" ht="10">
      <c r="A59" s="653" t="s">
        <v>220</v>
      </c>
      <c r="C59" s="783">
        <f>+MAINTENANCE!BU10</f>
        <v>0</v>
      </c>
      <c r="D59" s="530">
        <v>5</v>
      </c>
      <c r="E59" s="779">
        <f t="shared" si="1"/>
        <v>5</v>
      </c>
      <c r="F59" s="784" t="s">
        <v>58</v>
      </c>
      <c r="G59" s="321" t="str">
        <f t="shared" si="2"/>
        <v/>
      </c>
      <c r="H59" s="321" t="str">
        <f>+'OTHER COSTS'!A7</f>
        <v>External sealant</v>
      </c>
      <c r="L59" s="788">
        <f>+'OTHER COSTS'!BT7</f>
        <v>11.2</v>
      </c>
      <c r="N59" s="781" t="s">
        <v>114</v>
      </c>
      <c r="P59" s="671"/>
      <c r="Q59" s="671"/>
      <c r="R59" s="671"/>
      <c r="S59" s="671" t="s">
        <v>170</v>
      </c>
      <c r="T59" s="782">
        <f>DSUM($D$53:$F$119,1,AA54:AA55)</f>
        <v>0</v>
      </c>
      <c r="X59" s="789"/>
      <c r="Y59" s="789"/>
    </row>
    <row r="60" spans="1:27" ht="10">
      <c r="A60" s="653" t="s">
        <v>176</v>
      </c>
      <c r="C60" s="783">
        <f>+MAINTENANCE!BU11</f>
        <v>0</v>
      </c>
      <c r="D60" s="530">
        <v>20</v>
      </c>
      <c r="E60" s="779">
        <f t="shared" si="1"/>
        <v>20</v>
      </c>
      <c r="F60" s="784" t="s">
        <v>58</v>
      </c>
      <c r="G60" s="321" t="str">
        <f t="shared" si="2"/>
        <v/>
      </c>
      <c r="H60" s="321" t="str">
        <f>+'OTHER COSTS'!A8</f>
        <v>Battery charger</v>
      </c>
      <c r="L60" s="788">
        <f>+'OTHER COSTS'!BT8</f>
        <v>100</v>
      </c>
      <c r="N60" s="790" t="s">
        <v>169</v>
      </c>
      <c r="T60" s="814"/>
      <c r="V60" s="791"/>
      <c r="W60" s="791"/>
      <c r="Z60" s="697"/>
      <c r="AA60" s="697"/>
    </row>
    <row r="61" spans="1:27">
      <c r="A61" s="653" t="s">
        <v>178</v>
      </c>
      <c r="C61" s="783">
        <f>+MAINTENANCE!BU12</f>
        <v>0</v>
      </c>
      <c r="D61" s="530">
        <v>70</v>
      </c>
      <c r="E61" s="779">
        <f t="shared" si="1"/>
        <v>70</v>
      </c>
      <c r="F61" s="784" t="s">
        <v>58</v>
      </c>
      <c r="G61" s="321" t="str">
        <f t="shared" si="2"/>
        <v>&lt;</v>
      </c>
      <c r="H61" s="321" t="str">
        <f>+'OTHER COSTS'!A9</f>
        <v>Black cylindrical fender</v>
      </c>
      <c r="L61" s="788">
        <f>+'OTHER COSTS'!BT9</f>
        <v>6</v>
      </c>
      <c r="N61" s="320" t="str">
        <f ca="1">IF(V61&gt;0,INDIRECT(W61),"")</f>
        <v/>
      </c>
      <c r="S61" s="320" t="str">
        <f ca="1">IF(V61&gt;0,INDIRECT(X61),"")</f>
        <v/>
      </c>
      <c r="T61" s="814" t="str">
        <f ca="1">IF(V61&gt;0,INDIRECT(Y61),"")</f>
        <v/>
      </c>
      <c r="V61" s="791"/>
      <c r="W61" s="791" t="str">
        <f>CONCATENATE("A",V61)</f>
        <v>A</v>
      </c>
      <c r="X61" s="697" t="str">
        <f>CONCATENATE("D",V61)</f>
        <v>D</v>
      </c>
      <c r="Y61" s="697" t="str">
        <f>CONCATENATE("E",V61)</f>
        <v>E</v>
      </c>
      <c r="Z61" s="697"/>
      <c r="AA61" s="697"/>
    </row>
    <row r="62" spans="1:27" ht="10">
      <c r="A62" s="653" t="s">
        <v>221</v>
      </c>
      <c r="C62" s="783">
        <f>+MAINTENANCE!BU13</f>
        <v>0</v>
      </c>
      <c r="D62" s="530">
        <v>30</v>
      </c>
      <c r="E62" s="779">
        <f t="shared" si="1"/>
        <v>30</v>
      </c>
      <c r="F62" s="784" t="s">
        <v>58</v>
      </c>
      <c r="G62" s="321" t="str">
        <f t="shared" si="2"/>
        <v>&lt;</v>
      </c>
      <c r="H62" s="321" t="str">
        <f>+'OTHER COSTS'!A10</f>
        <v>Fresh water system, underfloor drain pump replacement.</v>
      </c>
      <c r="L62" s="788">
        <f>+'OTHER COSTS'!BT10</f>
        <v>32.49</v>
      </c>
      <c r="N62" s="325" t="s">
        <v>209</v>
      </c>
      <c r="S62" s="792" t="s">
        <v>136</v>
      </c>
      <c r="T62" s="815" t="s">
        <v>196</v>
      </c>
      <c r="U62" s="320">
        <f ca="1">SUM(S63:S75)</f>
        <v>335</v>
      </c>
      <c r="V62" s="791"/>
      <c r="W62" s="791"/>
      <c r="Z62" s="697"/>
      <c r="AA62" s="697"/>
    </row>
    <row r="63" spans="1:27">
      <c r="A63" s="653" t="s">
        <v>181</v>
      </c>
      <c r="C63" s="783">
        <f>+MAINTENANCE!BU14</f>
        <v>15.55</v>
      </c>
      <c r="D63" s="530">
        <v>15</v>
      </c>
      <c r="E63" s="779">
        <f t="shared" si="1"/>
        <v>-0.55000000000000071</v>
      </c>
      <c r="F63" s="784" t="s">
        <v>58</v>
      </c>
      <c r="G63" s="321" t="str">
        <f t="shared" si="2"/>
        <v/>
      </c>
      <c r="H63" s="321" t="str">
        <f>+'OTHER COSTS'!A11</f>
        <v>Domain registration for Olympic.me.uk for 2 years from 28/1/20</v>
      </c>
      <c r="L63" s="788">
        <f>+'OTHER COSTS'!BT11</f>
        <v>23.98</v>
      </c>
      <c r="N63" s="320" t="str">
        <f ca="1">IF(V63&gt;0,INDIRECT(W63),"")</f>
        <v>Clean engine bilge, check for corrosion and paint</v>
      </c>
      <c r="S63" s="734">
        <f ca="1">IF(V63&gt;0,INDIRECT(X63),"")</f>
        <v>10</v>
      </c>
      <c r="T63" s="814"/>
      <c r="V63" s="791">
        <v>77</v>
      </c>
      <c r="W63" s="697" t="str">
        <f>CONCATENATE("A",V63)</f>
        <v>A77</v>
      </c>
      <c r="X63" s="697" t="str">
        <f>CONCATENATE("D",V63)</f>
        <v>D77</v>
      </c>
      <c r="Y63" s="697" t="str">
        <f>CONCATENATE("E",V63)</f>
        <v>E77</v>
      </c>
    </row>
    <row r="64" spans="1:27">
      <c r="A64" s="653" t="s">
        <v>175</v>
      </c>
      <c r="C64" s="783">
        <f>+MAINTENANCE!BU15</f>
        <v>12.43</v>
      </c>
      <c r="D64" s="530">
        <v>20</v>
      </c>
      <c r="E64" s="779">
        <f t="shared" si="1"/>
        <v>7.57</v>
      </c>
      <c r="F64" s="784" t="s">
        <v>58</v>
      </c>
      <c r="G64" s="321" t="str">
        <f t="shared" si="2"/>
        <v/>
      </c>
      <c r="H64" s="321" t="str">
        <f>+'OTHER COSTS'!A12</f>
        <v>Mop bucket</v>
      </c>
      <c r="L64" s="788">
        <f>+'OTHER COSTS'!BT12</f>
        <v>6</v>
      </c>
      <c r="N64" s="320" t="str">
        <f ca="1">IF(V64&gt;0,INDIRECT(W64),"")</f>
        <v>Painting programme - front well, gunnel, rear counter, general touch-up</v>
      </c>
      <c r="S64" s="734">
        <f ca="1">IF(V64&gt;0,INDIRECT(X64),"")</f>
        <v>15</v>
      </c>
      <c r="T64" s="814"/>
      <c r="V64" s="791">
        <v>78</v>
      </c>
      <c r="W64" s="697" t="str">
        <f>CONCATENATE("A",V64)</f>
        <v>A78</v>
      </c>
      <c r="X64" s="697" t="str">
        <f>CONCATENATE("D",V64)</f>
        <v>D78</v>
      </c>
      <c r="Y64" s="697" t="str">
        <f>CONCATENATE("E",V64)</f>
        <v>E78</v>
      </c>
    </row>
    <row r="65" spans="1:27" ht="9" customHeight="1">
      <c r="A65" s="653" t="s">
        <v>222</v>
      </c>
      <c r="C65" s="783">
        <f>+MAINTENANCE!BU16</f>
        <v>0</v>
      </c>
      <c r="D65" s="530">
        <v>0</v>
      </c>
      <c r="E65" s="779">
        <f t="shared" si="1"/>
        <v>0</v>
      </c>
      <c r="F65" s="784" t="s">
        <v>58</v>
      </c>
      <c r="G65" s="321" t="str">
        <f t="shared" si="2"/>
        <v/>
      </c>
      <c r="H65" s="321" t="str">
        <f>+'OTHER COSTS'!A13</f>
        <v>Extension lead</v>
      </c>
      <c r="L65" s="788">
        <f>+'OTHER COSTS'!BT13</f>
        <v>3</v>
      </c>
      <c r="N65" s="320" t="str">
        <f ca="1">IF(V65&gt;0,INDIRECT(W65),"")</f>
        <v>Lights replacement/upgrade (see list at bottom)</v>
      </c>
      <c r="S65" s="734">
        <f ca="1">IF(V65&gt;0,INDIRECT(X65),"")</f>
        <v>30</v>
      </c>
      <c r="T65" s="816"/>
      <c r="V65" s="791">
        <v>80</v>
      </c>
      <c r="W65" s="697" t="str">
        <f>CONCATENATE("A",V65)</f>
        <v>A80</v>
      </c>
      <c r="X65" s="697" t="str">
        <f>CONCATENATE("D",V65)</f>
        <v>D80</v>
      </c>
      <c r="Y65" s="697" t="str">
        <f>CONCATENATE("E",V65)</f>
        <v>E80</v>
      </c>
    </row>
    <row r="66" spans="1:27">
      <c r="A66" s="554" t="s">
        <v>223</v>
      </c>
      <c r="C66" s="783">
        <f>+MAINTENANCE!BU17</f>
        <v>0</v>
      </c>
      <c r="D66" s="529">
        <v>0</v>
      </c>
      <c r="E66" s="779">
        <f t="shared" si="1"/>
        <v>0</v>
      </c>
      <c r="F66" s="784" t="s">
        <v>58</v>
      </c>
      <c r="G66" s="321" t="str">
        <f t="shared" si="2"/>
        <v/>
      </c>
      <c r="H66" s="321" t="str">
        <f>+'OTHER COSTS'!A14</f>
        <v>2 Toilet brushes</v>
      </c>
      <c r="L66" s="788">
        <f>+'OTHER COSTS'!BT14</f>
        <v>10</v>
      </c>
      <c r="N66" s="320" t="str">
        <f ca="1">IF(V66&gt;0,INDIRECT(W66),"")</f>
        <v>Resolve water pump voltage problem</v>
      </c>
      <c r="S66" s="320">
        <f ca="1">IF(V66&gt;0,INDIRECT(X66),"")</f>
        <v>50</v>
      </c>
      <c r="T66" s="812"/>
      <c r="V66" s="791">
        <v>81</v>
      </c>
      <c r="W66" s="697" t="str">
        <f t="shared" ref="W66:W71" si="3">CONCATENATE("A",V66)</f>
        <v>A81</v>
      </c>
      <c r="X66" s="697" t="str">
        <f t="shared" ref="X66:X71" si="4">CONCATENATE("D",V66)</f>
        <v>D81</v>
      </c>
      <c r="Y66" s="697" t="str">
        <f t="shared" ref="Y66:Y71" si="5">CONCATENATE("E",V66)</f>
        <v>E81</v>
      </c>
    </row>
    <row r="67" spans="1:27">
      <c r="A67" s="653" t="s">
        <v>224</v>
      </c>
      <c r="C67" s="783">
        <f>+MAINTENANCE!BU18</f>
        <v>0</v>
      </c>
      <c r="D67" s="528">
        <v>0</v>
      </c>
      <c r="E67" s="779">
        <f t="shared" si="1"/>
        <v>0</v>
      </c>
      <c r="F67" s="784" t="s">
        <v>58</v>
      </c>
      <c r="G67" s="321" t="str">
        <f t="shared" si="2"/>
        <v/>
      </c>
      <c r="H67" s="321">
        <f>+'OTHER COSTS'!A15</f>
        <v>0</v>
      </c>
      <c r="L67" s="788">
        <f>+'OTHER COSTS'!BT15</f>
        <v>0</v>
      </c>
      <c r="N67" s="320" t="str">
        <f t="shared" ref="N67:N73" ca="1" si="6">IF(V67&gt;0,INDIRECT(W67),"")</f>
        <v>USB upgrades (2.1A) and install shelf with space for sockets and phones?</v>
      </c>
      <c r="S67" s="734">
        <f t="shared" ref="S67:S73" ca="1" si="7">IF(V67&gt;0,INDIRECT(X67),"")</f>
        <v>20</v>
      </c>
      <c r="T67" s="814"/>
      <c r="V67" s="791">
        <v>82</v>
      </c>
      <c r="W67" s="697" t="str">
        <f t="shared" si="3"/>
        <v>A82</v>
      </c>
      <c r="X67" s="697" t="str">
        <f t="shared" si="4"/>
        <v>D82</v>
      </c>
      <c r="Y67" s="697" t="str">
        <f t="shared" si="5"/>
        <v>E82</v>
      </c>
    </row>
    <row r="68" spans="1:27">
      <c r="A68" s="653" t="s">
        <v>177</v>
      </c>
      <c r="C68" s="783">
        <f>+MAINTENANCE!BU19</f>
        <v>47.489999999999995</v>
      </c>
      <c r="D68" s="528">
        <v>50</v>
      </c>
      <c r="E68" s="779">
        <f t="shared" si="1"/>
        <v>2.5100000000000051</v>
      </c>
      <c r="F68" s="784" t="s">
        <v>58</v>
      </c>
      <c r="G68" s="321" t="str">
        <f t="shared" si="2"/>
        <v/>
      </c>
      <c r="H68" s="321">
        <f>+'OTHER COSTS'!A16</f>
        <v>0</v>
      </c>
      <c r="L68" s="788">
        <f>+'OTHER COSTS'!BT16</f>
        <v>0</v>
      </c>
      <c r="N68" s="320" t="str">
        <f t="shared" ca="1" si="6"/>
        <v>Replace rubber matting over rear boards</v>
      </c>
      <c r="S68" s="734">
        <f t="shared" ca="1" si="7"/>
        <v>200</v>
      </c>
      <c r="T68" s="814"/>
      <c r="V68" s="791">
        <v>88</v>
      </c>
      <c r="W68" s="697" t="str">
        <f t="shared" si="3"/>
        <v>A88</v>
      </c>
      <c r="X68" s="697" t="str">
        <f t="shared" si="4"/>
        <v>D88</v>
      </c>
      <c r="Y68" s="697" t="str">
        <f t="shared" si="5"/>
        <v>E88</v>
      </c>
    </row>
    <row r="69" spans="1:27">
      <c r="A69" s="653" t="s">
        <v>225</v>
      </c>
      <c r="C69" s="783">
        <f>+MAINTENANCE!BU20</f>
        <v>35.5</v>
      </c>
      <c r="D69" s="528">
        <v>26</v>
      </c>
      <c r="E69" s="779">
        <f t="shared" si="1"/>
        <v>-9.5</v>
      </c>
      <c r="F69" s="784" t="s">
        <v>58</v>
      </c>
      <c r="G69" s="321" t="str">
        <f t="shared" si="2"/>
        <v/>
      </c>
      <c r="H69" s="321">
        <f>+'OTHER COSTS'!A17</f>
        <v>0</v>
      </c>
      <c r="L69" s="788">
        <f>+'OTHER COSTS'!BT17</f>
        <v>0</v>
      </c>
      <c r="N69" s="320" t="str">
        <f t="shared" ca="1" si="6"/>
        <v>Replace rotting side hatch door</v>
      </c>
      <c r="S69" s="734">
        <f t="shared" ca="1" si="7"/>
        <v>10</v>
      </c>
      <c r="T69" s="814"/>
      <c r="V69" s="791">
        <v>91</v>
      </c>
      <c r="W69" s="697" t="str">
        <f t="shared" si="3"/>
        <v>A91</v>
      </c>
      <c r="X69" s="697" t="str">
        <f t="shared" si="4"/>
        <v>D91</v>
      </c>
      <c r="Y69" s="697" t="str">
        <f t="shared" si="5"/>
        <v>E91</v>
      </c>
    </row>
    <row r="70" spans="1:27">
      <c r="A70" s="653" t="s">
        <v>226</v>
      </c>
      <c r="C70" s="783">
        <f>+MAINTENANCE!BU21</f>
        <v>0</v>
      </c>
      <c r="D70" s="528">
        <v>0</v>
      </c>
      <c r="E70" s="779">
        <f t="shared" si="1"/>
        <v>0</v>
      </c>
      <c r="F70" s="784" t="s">
        <v>58</v>
      </c>
      <c r="G70" s="321" t="str">
        <f t="shared" si="2"/>
        <v/>
      </c>
      <c r="H70" s="321">
        <f>+'OTHER COSTS'!A18</f>
        <v>0</v>
      </c>
      <c r="L70" s="788">
        <f>+'OTHER COSTS'!BT18</f>
        <v>0</v>
      </c>
      <c r="N70" s="320" t="str">
        <f t="shared" ca="1" si="6"/>
        <v/>
      </c>
      <c r="S70" s="734" t="str">
        <f t="shared" ca="1" si="7"/>
        <v/>
      </c>
      <c r="T70" s="814"/>
      <c r="V70" s="791"/>
      <c r="W70" s="697" t="str">
        <f t="shared" si="3"/>
        <v>A</v>
      </c>
      <c r="X70" s="697" t="str">
        <f t="shared" si="4"/>
        <v>D</v>
      </c>
      <c r="Y70" s="697" t="str">
        <f t="shared" si="5"/>
        <v>E</v>
      </c>
    </row>
    <row r="71" spans="1:27">
      <c r="A71" s="845" t="s">
        <v>201</v>
      </c>
      <c r="C71" s="783">
        <f>+MAINTENANCE!BU22</f>
        <v>0</v>
      </c>
      <c r="D71" s="530"/>
      <c r="E71" s="779">
        <f t="shared" si="1"/>
        <v>0</v>
      </c>
      <c r="F71" s="784"/>
      <c r="G71" s="321" t="str">
        <f t="shared" si="2"/>
        <v/>
      </c>
      <c r="H71" s="321">
        <f>+'OTHER COSTS'!A19</f>
        <v>0</v>
      </c>
      <c r="K71" s="842"/>
      <c r="L71" s="788">
        <f>+'OTHER COSTS'!BT19</f>
        <v>0</v>
      </c>
      <c r="N71" s="320" t="str">
        <f t="shared" ca="1" si="6"/>
        <v/>
      </c>
      <c r="S71" s="734" t="str">
        <f t="shared" ca="1" si="7"/>
        <v/>
      </c>
      <c r="T71" s="814"/>
      <c r="V71" s="791"/>
      <c r="W71" s="697" t="str">
        <f t="shared" si="3"/>
        <v>A</v>
      </c>
      <c r="X71" s="697" t="str">
        <f t="shared" si="4"/>
        <v>D</v>
      </c>
      <c r="Y71" s="697" t="str">
        <f t="shared" si="5"/>
        <v>E</v>
      </c>
    </row>
    <row r="72" spans="1:27">
      <c r="A72" s="653" t="s">
        <v>227</v>
      </c>
      <c r="C72" s="783">
        <f>+MAINTENANCE!BU23</f>
        <v>71.59</v>
      </c>
      <c r="D72" s="528">
        <v>40</v>
      </c>
      <c r="E72" s="779">
        <f t="shared" si="1"/>
        <v>-31.590000000000003</v>
      </c>
      <c r="F72" s="784" t="s">
        <v>58</v>
      </c>
      <c r="G72" s="321" t="str">
        <f t="shared" si="2"/>
        <v>&gt;</v>
      </c>
      <c r="H72" s="321">
        <f>+'OTHER COSTS'!A20</f>
        <v>0</v>
      </c>
      <c r="K72" s="842"/>
      <c r="L72" s="788">
        <f>+'OTHER COSTS'!BT20</f>
        <v>0</v>
      </c>
      <c r="N72" s="320" t="str">
        <f t="shared" ca="1" si="6"/>
        <v/>
      </c>
      <c r="S72" s="734" t="str">
        <f t="shared" ca="1" si="7"/>
        <v/>
      </c>
      <c r="T72" s="814"/>
      <c r="V72" s="791"/>
      <c r="W72" s="697" t="str">
        <f>CONCATENATE("A",V72)</f>
        <v>A</v>
      </c>
      <c r="X72" s="697" t="str">
        <f>CONCATENATE("D",V72)</f>
        <v>D</v>
      </c>
      <c r="Y72" s="697" t="str">
        <f>CONCATENATE("E",V72)</f>
        <v>E</v>
      </c>
    </row>
    <row r="73" spans="1:27" ht="8.25" customHeight="1">
      <c r="A73" s="554" t="s">
        <v>228</v>
      </c>
      <c r="B73" s="694"/>
      <c r="C73" s="783">
        <f>+MAINTENANCE!BU24</f>
        <v>0</v>
      </c>
      <c r="D73" s="529">
        <v>10</v>
      </c>
      <c r="E73" s="779">
        <f t="shared" si="1"/>
        <v>10</v>
      </c>
      <c r="F73" s="784" t="s">
        <v>58</v>
      </c>
      <c r="G73" s="321" t="str">
        <f t="shared" si="2"/>
        <v/>
      </c>
      <c r="H73" s="321">
        <f>+'OTHER COSTS'!A21</f>
        <v>0</v>
      </c>
      <c r="L73" s="788">
        <f>+'OTHER COSTS'!BT21</f>
        <v>0</v>
      </c>
      <c r="N73" s="320" t="str">
        <f t="shared" ca="1" si="6"/>
        <v/>
      </c>
      <c r="S73" s="320" t="str">
        <f t="shared" ca="1" si="7"/>
        <v/>
      </c>
      <c r="T73" s="812"/>
      <c r="V73" s="791"/>
      <c r="W73" s="697" t="str">
        <f>CONCATENATE("A",V73)</f>
        <v>A</v>
      </c>
      <c r="X73" s="697" t="str">
        <f>CONCATENATE("D",V73)</f>
        <v>D</v>
      </c>
      <c r="Y73" s="697" t="str">
        <f>CONCATENATE("E",V73)</f>
        <v>E</v>
      </c>
    </row>
    <row r="74" spans="1:27" ht="8.25" customHeight="1">
      <c r="A74" s="653" t="s">
        <v>229</v>
      </c>
      <c r="B74" s="694"/>
      <c r="C74" s="783">
        <f>+MAINTENANCE!BU25</f>
        <v>12.61</v>
      </c>
      <c r="D74" s="528">
        <v>20</v>
      </c>
      <c r="E74" s="779">
        <f t="shared" si="1"/>
        <v>7.3900000000000006</v>
      </c>
      <c r="F74" s="838" t="s">
        <v>58</v>
      </c>
      <c r="G74" s="321" t="str">
        <f t="shared" si="2"/>
        <v/>
      </c>
      <c r="H74" s="321">
        <f>+'OTHER COSTS'!A22</f>
        <v>0</v>
      </c>
      <c r="L74" s="788">
        <f>+'OTHER COSTS'!BT22</f>
        <v>0</v>
      </c>
      <c r="N74" s="320" t="str">
        <f ca="1">IF(V74&gt;0,INDIRECT(W74),"")</f>
        <v/>
      </c>
      <c r="S74" s="320" t="str">
        <f ca="1">IF(V74&gt;0,INDIRECT(X74),"")</f>
        <v/>
      </c>
      <c r="T74" s="812"/>
      <c r="V74" s="791"/>
      <c r="W74" s="697" t="str">
        <f>CONCATENATE("A",V74)</f>
        <v>A</v>
      </c>
      <c r="X74" s="697" t="str">
        <f>CONCATENATE("D",V74)</f>
        <v>D</v>
      </c>
      <c r="Y74" s="697" t="str">
        <f>CONCATENATE("E",V74)</f>
        <v>E</v>
      </c>
    </row>
    <row r="75" spans="1:27" ht="9.75" customHeight="1">
      <c r="A75" s="653" t="s">
        <v>204</v>
      </c>
      <c r="B75" s="694"/>
      <c r="C75" s="783">
        <f>+MAINTENANCE!BU26</f>
        <v>100.75</v>
      </c>
      <c r="D75" s="528">
        <v>50</v>
      </c>
      <c r="E75" s="779">
        <f t="shared" si="1"/>
        <v>-50.75</v>
      </c>
      <c r="F75" s="784" t="s">
        <v>58</v>
      </c>
      <c r="G75" s="321" t="str">
        <f>IF(F75="X","*",IF(OR(F75="P",F75="N"),"",IF(ABS(E75/(D75+0.001))&gt;$J$1,IF(ABS(E75)&gt;20,IF(E75&lt;0,"&gt;","&lt;"),""),"")))</f>
        <v>&gt;</v>
      </c>
      <c r="H75" s="321">
        <f>+'OTHER COSTS'!A23</f>
        <v>0</v>
      </c>
      <c r="L75" s="788">
        <f>+'OTHER COSTS'!BT23</f>
        <v>0</v>
      </c>
      <c r="N75" s="320" t="str">
        <f ca="1">IF(V75&gt;0,INDIRECT(W75),"")</f>
        <v/>
      </c>
      <c r="S75" s="320" t="str">
        <f ca="1">IF(V75&gt;0,INDIRECT(X75),"")</f>
        <v/>
      </c>
      <c r="T75" s="812"/>
      <c r="V75" s="791"/>
      <c r="W75" s="697" t="str">
        <f>CONCATENATE("A",V75)</f>
        <v>A</v>
      </c>
      <c r="X75" s="697" t="str">
        <f>CONCATENATE("D",V75)</f>
        <v>D</v>
      </c>
      <c r="Y75" s="697" t="str">
        <f>CONCATENATE("E",V75)</f>
        <v>E</v>
      </c>
    </row>
    <row r="76" spans="1:27" ht="8.25" customHeight="1">
      <c r="A76" s="653" t="s">
        <v>230</v>
      </c>
      <c r="B76" s="694"/>
      <c r="C76" s="783">
        <f>+MAINTENANCE!BU27</f>
        <v>15.97</v>
      </c>
      <c r="D76" s="528">
        <v>10</v>
      </c>
      <c r="E76" s="779">
        <f t="shared" si="1"/>
        <v>-5.9700000000000006</v>
      </c>
      <c r="F76" s="784" t="s">
        <v>58</v>
      </c>
      <c r="G76" s="321" t="str">
        <f>IF(F76="X","*",IF(OR(F76="P",F76="N"),"",IF(ABS(E76/(D76+0.001))&gt;$J$1,IF(ABS(E76)&gt;20,IF(E76&lt;0,"&gt;","&lt;"),""),"")))</f>
        <v/>
      </c>
      <c r="H76" s="321">
        <f>+'OTHER COSTS'!A24</f>
        <v>0</v>
      </c>
      <c r="L76" s="788">
        <f>+'OTHER COSTS'!BT24</f>
        <v>0</v>
      </c>
      <c r="N76" s="320" t="str">
        <f ca="1">IF(V76&gt;0,INDIRECT(W76),"")</f>
        <v/>
      </c>
      <c r="S76" s="320" t="str">
        <f ca="1">IF(V76&gt;0,INDIRECT(X76),"")</f>
        <v/>
      </c>
      <c r="T76" s="812"/>
      <c r="W76" s="697" t="str">
        <f>CONCATENATE("A",V76)</f>
        <v>A</v>
      </c>
      <c r="X76" s="697" t="str">
        <f>CONCATENATE("D",V76)</f>
        <v>D</v>
      </c>
    </row>
    <row r="77" spans="1:27" ht="8.25" customHeight="1">
      <c r="A77" s="653" t="s">
        <v>231</v>
      </c>
      <c r="B77" s="694"/>
      <c r="C77" s="783">
        <f>+MAINTENANCE!BU28</f>
        <v>0</v>
      </c>
      <c r="D77" s="528">
        <v>10</v>
      </c>
      <c r="E77" s="779">
        <f t="shared" si="1"/>
        <v>10</v>
      </c>
      <c r="F77" s="784" t="s">
        <v>64</v>
      </c>
      <c r="G77" s="321" t="str">
        <f>IF(F77="X","*",IF(OR(F77="P",F77="N"),"",IF(ABS(E77/(D77+0.001))&gt;$J$1,IF(ABS(E77)&gt;20,IF(E77&lt;0,"&gt;","&lt;"),""),"")))</f>
        <v/>
      </c>
      <c r="H77" s="321">
        <f>+'OTHER COSTS'!A25</f>
        <v>0</v>
      </c>
      <c r="L77" s="788">
        <f>+'OTHER COSTS'!BT25</f>
        <v>0</v>
      </c>
    </row>
    <row r="78" spans="1:27" ht="8.25" customHeight="1">
      <c r="A78" s="653" t="s">
        <v>232</v>
      </c>
      <c r="B78" s="694"/>
      <c r="C78" s="783">
        <f>+MAINTENANCE!BU29</f>
        <v>0</v>
      </c>
      <c r="D78" s="529">
        <v>15</v>
      </c>
      <c r="E78" s="779">
        <f t="shared" si="1"/>
        <v>15</v>
      </c>
      <c r="F78" s="784" t="s">
        <v>64</v>
      </c>
      <c r="G78" s="321" t="str">
        <f t="shared" si="2"/>
        <v/>
      </c>
      <c r="H78" s="321">
        <f>+'OTHER COSTS'!A26</f>
        <v>0</v>
      </c>
      <c r="L78" s="788">
        <f>+'OTHER COSTS'!BT26</f>
        <v>0</v>
      </c>
      <c r="N78" s="325" t="str">
        <f>CONCATENATE("Completed jobs significantly under budget (&lt;",$J$1*100,"%) ")</f>
        <v xml:space="preserve">Completed jobs significantly under budget (&lt;25%) </v>
      </c>
      <c r="T78" s="816" t="s">
        <v>113</v>
      </c>
      <c r="U78" s="320">
        <f ca="1">SUM(T79:T82)</f>
        <v>193.97</v>
      </c>
      <c r="V78" s="791"/>
    </row>
    <row r="79" spans="1:27">
      <c r="A79" s="653" t="s">
        <v>233</v>
      </c>
      <c r="B79" s="694"/>
      <c r="C79" s="783">
        <f>+MAINTENANCE!BU30</f>
        <v>20</v>
      </c>
      <c r="D79" s="528">
        <v>30</v>
      </c>
      <c r="E79" s="779">
        <f t="shared" si="1"/>
        <v>10</v>
      </c>
      <c r="F79" s="784" t="s">
        <v>58</v>
      </c>
      <c r="G79" s="321" t="str">
        <f t="shared" si="2"/>
        <v/>
      </c>
      <c r="H79" s="321">
        <f>+'OTHER COSTS'!A27</f>
        <v>0</v>
      </c>
      <c r="L79" s="788">
        <f>+'OTHER COSTS'!BT27</f>
        <v>0</v>
      </c>
      <c r="N79" s="320" t="str">
        <f ca="1">IF(V79&gt;0,INDIRECT(W79),"")</f>
        <v xml:space="preserve">Working w/e food </v>
      </c>
      <c r="S79" s="320">
        <f ca="1">IF(V79&gt;0,INDIRECT(X79),"")</f>
        <v>70</v>
      </c>
      <c r="T79" s="812">
        <f ca="1">IF(V79&gt;0,INDIRECT(Y79),"")</f>
        <v>53.97</v>
      </c>
      <c r="V79" s="791">
        <v>55</v>
      </c>
      <c r="W79" s="697" t="str">
        <f>CONCATENATE("A",V79)</f>
        <v>A55</v>
      </c>
      <c r="X79" s="697" t="str">
        <f>CONCATENATE("D",V79)</f>
        <v>D55</v>
      </c>
      <c r="Y79" s="697" t="str">
        <f>CONCATENATE("E",V79)</f>
        <v>E55</v>
      </c>
    </row>
    <row r="80" spans="1:27" ht="8.25" customHeight="1">
      <c r="A80" s="653" t="s">
        <v>234</v>
      </c>
      <c r="B80" s="694"/>
      <c r="C80" s="783">
        <f>+MAINTENANCE!BU31</f>
        <v>0</v>
      </c>
      <c r="D80" s="530">
        <v>30</v>
      </c>
      <c r="E80" s="779">
        <f t="shared" si="1"/>
        <v>30</v>
      </c>
      <c r="F80" s="784" t="s">
        <v>64</v>
      </c>
      <c r="G80" s="321" t="str">
        <f t="shared" si="2"/>
        <v/>
      </c>
      <c r="H80" s="321">
        <f>+'OTHER COSTS'!A28</f>
        <v>0</v>
      </c>
      <c r="L80" s="788">
        <f>+'OTHER COSTS'!BT28</f>
        <v>0</v>
      </c>
      <c r="N80" s="320" t="str">
        <f ca="1">IF(V80&gt;0,INDIRECT(W80),"")</f>
        <v>Restock pumpout cards (not maintenance - charge to pump out)</v>
      </c>
      <c r="S80" s="320">
        <f ca="1">IF(V80&gt;0,INDIRECT(X80),"")</f>
        <v>40</v>
      </c>
      <c r="T80" s="812">
        <f ca="1">IF(V80&gt;0,INDIRECT(Y80),"")</f>
        <v>40</v>
      </c>
      <c r="U80" s="320"/>
      <c r="V80" s="791">
        <v>57</v>
      </c>
      <c r="W80" s="697" t="str">
        <f>CONCATENATE("A",V80)</f>
        <v>A57</v>
      </c>
      <c r="X80" s="697" t="str">
        <f>CONCATENATE("D",V80)</f>
        <v>D57</v>
      </c>
      <c r="Y80" s="697" t="str">
        <f>CONCATENATE("E",V80)</f>
        <v>E57</v>
      </c>
      <c r="AA80" s="697"/>
    </row>
    <row r="81" spans="1:27" ht="8.25" customHeight="1">
      <c r="A81" s="653" t="s">
        <v>205</v>
      </c>
      <c r="B81" s="694"/>
      <c r="C81" s="783">
        <f>+MAINTENANCE!BU32</f>
        <v>0</v>
      </c>
      <c r="D81" s="528">
        <v>50</v>
      </c>
      <c r="E81" s="779">
        <f t="shared" si="1"/>
        <v>50</v>
      </c>
      <c r="F81" s="784" t="s">
        <v>64</v>
      </c>
      <c r="G81" s="321" t="str">
        <f t="shared" si="2"/>
        <v/>
      </c>
      <c r="H81" s="321">
        <f>+'OTHER COSTS'!A29</f>
        <v>0</v>
      </c>
      <c r="L81" s="788">
        <f>+'OTHER COSTS'!BT29</f>
        <v>0</v>
      </c>
      <c r="N81" s="320" t="str">
        <f ca="1">IF(V81&gt;0,INDIRECT(W81),"")</f>
        <v>Restock water filters &amp; Freezeban</v>
      </c>
      <c r="S81" s="320">
        <f ca="1">IF(V81&gt;0,INDIRECT(X81),"")</f>
        <v>70</v>
      </c>
      <c r="T81" s="812">
        <f ca="1">IF(V81&gt;0,INDIRECT(Y81),"")</f>
        <v>70</v>
      </c>
      <c r="U81" s="320"/>
      <c r="V81" s="791">
        <v>61</v>
      </c>
      <c r="W81" s="697" t="str">
        <f>CONCATENATE("A",V81)</f>
        <v>A61</v>
      </c>
      <c r="X81" s="697" t="str">
        <f>CONCATENATE("D",V81)</f>
        <v>D61</v>
      </c>
      <c r="Y81" s="697" t="str">
        <f>CONCATENATE("E",V81)</f>
        <v>E61</v>
      </c>
      <c r="Z81" s="697"/>
      <c r="AA81" s="697"/>
    </row>
    <row r="82" spans="1:27" ht="8.25" customHeight="1" thickBot="1">
      <c r="A82" s="653" t="s">
        <v>235</v>
      </c>
      <c r="B82" s="694"/>
      <c r="C82" s="783">
        <f>+MAINTENANCE!BU33</f>
        <v>0</v>
      </c>
      <c r="D82" s="528">
        <v>20</v>
      </c>
      <c r="E82" s="779">
        <f t="shared" si="1"/>
        <v>20</v>
      </c>
      <c r="F82" s="784" t="s">
        <v>64</v>
      </c>
      <c r="G82" s="321" t="str">
        <f t="shared" si="2"/>
        <v/>
      </c>
      <c r="H82" s="322" t="s">
        <v>24</v>
      </c>
      <c r="I82" s="323"/>
      <c r="J82" s="323"/>
      <c r="K82" s="323"/>
      <c r="L82" s="324">
        <f>SUM(L58:L81)</f>
        <v>287.67</v>
      </c>
      <c r="N82" s="320" t="str">
        <f ca="1">IF(V82&gt;0,INDIRECT(W82),"")</f>
        <v>Replace pillows  (if needed)</v>
      </c>
      <c r="S82" s="320">
        <f ca="1">IF(V82&gt;0,INDIRECT(X82),"")</f>
        <v>30</v>
      </c>
      <c r="T82" s="812">
        <f ca="1">IF(V82&gt;0,INDIRECT(Y82),"")</f>
        <v>30</v>
      </c>
      <c r="U82" s="320"/>
      <c r="V82" s="791">
        <v>62</v>
      </c>
      <c r="W82" s="697" t="str">
        <f>CONCATENATE("A",V82)</f>
        <v>A62</v>
      </c>
      <c r="X82" s="697" t="str">
        <f>CONCATENATE("D",V82)</f>
        <v>D62</v>
      </c>
      <c r="Y82" s="697" t="str">
        <f>CONCATENATE("E",V82)</f>
        <v>E62</v>
      </c>
      <c r="Z82" s="697"/>
      <c r="AA82" s="697"/>
    </row>
    <row r="83" spans="1:27" ht="11.65" customHeight="1" thickTop="1" thickBot="1">
      <c r="A83" s="653" t="s">
        <v>236</v>
      </c>
      <c r="B83" s="694"/>
      <c r="C83" s="783">
        <f>+MAINTENANCE!BU34</f>
        <v>77.47999999999999</v>
      </c>
      <c r="D83" s="528">
        <v>15</v>
      </c>
      <c r="E83" s="779">
        <f t="shared" si="1"/>
        <v>-62.47999999999999</v>
      </c>
      <c r="F83" s="784" t="s">
        <v>58</v>
      </c>
      <c r="G83" s="321" t="str">
        <f t="shared" si="2"/>
        <v>&gt;</v>
      </c>
      <c r="N83" s="320" t="str">
        <f ca="1">IF(V83&gt;0,INDIRECT(W83),"")</f>
        <v/>
      </c>
      <c r="S83" s="320" t="str">
        <f ca="1">IF(V83&gt;0,INDIRECT(X83),"")</f>
        <v/>
      </c>
      <c r="T83" s="812" t="str">
        <f ca="1">IF(V83&gt;0,INDIRECT(Y83),"")</f>
        <v/>
      </c>
      <c r="U83" s="320"/>
      <c r="V83" s="791"/>
      <c r="W83" s="697" t="str">
        <f>CONCATENATE("A",V83)</f>
        <v>A</v>
      </c>
      <c r="X83" s="697" t="str">
        <f>CONCATENATE("D",V83)</f>
        <v>D</v>
      </c>
      <c r="Y83" s="697" t="str">
        <f>CONCATENATE("E",V83)</f>
        <v>E</v>
      </c>
      <c r="Z83" s="697"/>
      <c r="AA83" s="697"/>
    </row>
    <row r="84" spans="1:27" ht="8.25" customHeight="1" thickTop="1">
      <c r="A84" s="653" t="s">
        <v>237</v>
      </c>
      <c r="B84" s="694"/>
      <c r="C84" s="783">
        <f>+MAINTENANCE!BU35</f>
        <v>0</v>
      </c>
      <c r="D84" s="528">
        <v>10</v>
      </c>
      <c r="E84" s="779">
        <f t="shared" si="1"/>
        <v>10</v>
      </c>
      <c r="F84" s="784" t="s">
        <v>58</v>
      </c>
      <c r="G84" s="321" t="str">
        <f t="shared" si="2"/>
        <v/>
      </c>
      <c r="H84" s="840" t="s">
        <v>81</v>
      </c>
      <c r="I84" s="840"/>
      <c r="J84" s="840"/>
      <c r="K84" s="514"/>
      <c r="L84" s="724" t="s">
        <v>24</v>
      </c>
      <c r="T84" s="812"/>
      <c r="U84" s="320"/>
      <c r="V84" s="791"/>
      <c r="Z84" s="697"/>
      <c r="AA84" s="697"/>
    </row>
    <row r="85" spans="1:27" ht="11" thickBot="1">
      <c r="A85" s="653" t="s">
        <v>203</v>
      </c>
      <c r="B85" s="694"/>
      <c r="C85" s="783">
        <f>+MAINTENANCE!BU36</f>
        <v>0</v>
      </c>
      <c r="D85" s="528">
        <v>20</v>
      </c>
      <c r="E85" s="779">
        <f t="shared" si="1"/>
        <v>20</v>
      </c>
      <c r="F85" s="784" t="s">
        <v>208</v>
      </c>
      <c r="G85" s="321" t="str">
        <f t="shared" si="2"/>
        <v/>
      </c>
      <c r="H85" s="515"/>
      <c r="I85" s="515"/>
      <c r="J85" s="515"/>
      <c r="K85" s="516"/>
      <c r="L85" s="785"/>
      <c r="N85" s="325" t="str">
        <f>CONCATENATE("Completed jobs significantly over budget (&gt;",$J$1*100,"%)")</f>
        <v>Completed jobs significantly over budget (&gt;25%)</v>
      </c>
      <c r="S85" s="734"/>
      <c r="T85" s="816" t="s">
        <v>168</v>
      </c>
      <c r="U85" s="812">
        <f ca="1">SUM(T86:T87)</f>
        <v>-82.34</v>
      </c>
      <c r="V85" s="791"/>
      <c r="Z85" s="697"/>
      <c r="AA85" s="697"/>
    </row>
    <row r="86" spans="1:27" ht="7.5" thickTop="1">
      <c r="A86" s="653" t="s">
        <v>238</v>
      </c>
      <c r="B86" s="694"/>
      <c r="C86" s="783">
        <f>+MAINTENANCE!BU37</f>
        <v>0</v>
      </c>
      <c r="D86" s="530">
        <v>10</v>
      </c>
      <c r="E86" s="779">
        <f t="shared" si="1"/>
        <v>10</v>
      </c>
      <c r="F86" s="784" t="s">
        <v>208</v>
      </c>
      <c r="G86" s="321" t="str">
        <f t="shared" si="2"/>
        <v/>
      </c>
      <c r="H86" s="678">
        <f>+'OTHER COSTS'!A54</f>
        <v>0</v>
      </c>
      <c r="I86" s="327"/>
      <c r="J86" s="327"/>
      <c r="K86" s="327"/>
      <c r="L86" s="794">
        <f>+'OTHER COSTS'!BT54</f>
        <v>0</v>
      </c>
      <c r="N86" s="320" t="str">
        <f ca="1">IF(V86&gt;0,INDIRECT(W86),"")</f>
        <v>Fix front door (lower hinge failed, draughty, Replave lock - no double locking)</v>
      </c>
      <c r="S86" s="320">
        <f ca="1">IF(V86&gt;0,INDIRECT(X86),"")</f>
        <v>40</v>
      </c>
      <c r="T86" s="812">
        <f ca="1">IF(V86&gt;0,INDIRECT(Y86),"")</f>
        <v>-31.590000000000003</v>
      </c>
      <c r="U86" s="320"/>
      <c r="V86" s="791">
        <v>72</v>
      </c>
      <c r="W86" s="697" t="str">
        <f>CONCATENATE("A",V86)</f>
        <v>A72</v>
      </c>
      <c r="X86" s="697" t="str">
        <f>CONCATENATE("D",V86)</f>
        <v>D72</v>
      </c>
      <c r="Y86" s="697" t="str">
        <f>CONCATENATE("E",V86)</f>
        <v>E72</v>
      </c>
      <c r="Z86" s="697"/>
      <c r="AA86" s="697"/>
    </row>
    <row r="87" spans="1:27" ht="8.25" customHeight="1">
      <c r="A87" s="653" t="s">
        <v>202</v>
      </c>
      <c r="B87" s="694"/>
      <c r="C87" s="783">
        <f>+MAINTENANCE!BU38</f>
        <v>15.05</v>
      </c>
      <c r="D87" s="528">
        <v>20</v>
      </c>
      <c r="E87" s="779">
        <f t="shared" si="1"/>
        <v>4.9499999999999993</v>
      </c>
      <c r="F87" s="784" t="s">
        <v>58</v>
      </c>
      <c r="G87" s="321" t="str">
        <f t="shared" si="2"/>
        <v/>
      </c>
      <c r="H87" s="321"/>
      <c r="L87" s="795">
        <v>0</v>
      </c>
      <c r="N87" s="320" t="str">
        <f ca="1">IF(V87&gt;0,INDIRECT(W87),"")</f>
        <v>Replace anchor rope</v>
      </c>
      <c r="S87" s="320">
        <f ca="1">IF(V87&gt;0,INDIRECT(X87),"")</f>
        <v>50</v>
      </c>
      <c r="T87" s="812">
        <f ca="1">IF(V87&gt;0,INDIRECT(Y87),"")</f>
        <v>-50.75</v>
      </c>
      <c r="U87" s="797"/>
      <c r="V87" s="791">
        <v>75</v>
      </c>
      <c r="W87" s="697" t="str">
        <f>CONCATENATE("A",V87)</f>
        <v>A75</v>
      </c>
      <c r="X87" s="697" t="str">
        <f>CONCATENATE("D",V87)</f>
        <v>D75</v>
      </c>
      <c r="Y87" s="697" t="str">
        <f>CONCATENATE("E",V87)</f>
        <v>E75</v>
      </c>
      <c r="Z87" s="697"/>
      <c r="AA87" s="697"/>
    </row>
    <row r="88" spans="1:27" ht="8.25" customHeight="1" thickBot="1">
      <c r="A88" s="653" t="s">
        <v>239</v>
      </c>
      <c r="B88" s="694"/>
      <c r="C88" s="783">
        <f>+MAINTENANCE!BU39</f>
        <v>0</v>
      </c>
      <c r="D88" s="528">
        <v>200</v>
      </c>
      <c r="E88" s="779">
        <f t="shared" si="1"/>
        <v>200</v>
      </c>
      <c r="F88" s="784" t="s">
        <v>64</v>
      </c>
      <c r="G88" s="321" t="str">
        <f t="shared" si="2"/>
        <v/>
      </c>
      <c r="H88" s="322" t="s">
        <v>24</v>
      </c>
      <c r="I88" s="323"/>
      <c r="J88" s="323"/>
      <c r="K88" s="323"/>
      <c r="L88" s="324">
        <f>SUM(L86:L87)</f>
        <v>0</v>
      </c>
      <c r="N88" s="320" t="str">
        <f ca="1">IF(V88&gt;0,INDIRECT(W88),"")</f>
        <v>Fit new silencer</v>
      </c>
      <c r="S88" s="320">
        <f ca="1">IF(V88&gt;0,INDIRECT(X88),"")</f>
        <v>15</v>
      </c>
      <c r="T88" s="812">
        <f ca="1">IF(V88&gt;0,INDIRECT(Y88),"")</f>
        <v>-62.47999999999999</v>
      </c>
      <c r="U88" s="797"/>
      <c r="V88" s="791">
        <v>83</v>
      </c>
      <c r="W88" s="697" t="str">
        <f>CONCATENATE("A",V88)</f>
        <v>A83</v>
      </c>
      <c r="X88" s="697" t="str">
        <f>CONCATENATE("D",V88)</f>
        <v>D83</v>
      </c>
      <c r="Y88" s="697" t="str">
        <f>CONCATENATE("E",V88)</f>
        <v>E83</v>
      </c>
      <c r="Z88" s="697"/>
      <c r="AA88" s="697"/>
    </row>
    <row r="89" spans="1:27" ht="8.25" customHeight="1" thickTop="1" thickBot="1">
      <c r="A89" s="621" t="s">
        <v>240</v>
      </c>
      <c r="B89" s="694"/>
      <c r="C89" s="783">
        <f>+MAINTENANCE!BU40</f>
        <v>111.29</v>
      </c>
      <c r="D89" s="533">
        <v>40</v>
      </c>
      <c r="E89" s="779">
        <f t="shared" si="1"/>
        <v>-71.290000000000006</v>
      </c>
      <c r="F89" s="784" t="s">
        <v>58</v>
      </c>
      <c r="G89" s="321" t="str">
        <f t="shared" si="2"/>
        <v>&gt;</v>
      </c>
      <c r="N89" s="320" t="str">
        <f ca="1">IF(V89&gt;0,INDIRECT(W89),"")</f>
        <v>Repair or replace rear boards (edging failed)</v>
      </c>
      <c r="S89" s="320">
        <f ca="1">IF(V89&gt;0,INDIRECT(X89),"")</f>
        <v>40</v>
      </c>
      <c r="T89" s="812">
        <f ca="1">IF(V89&gt;0,INDIRECT(Y89),"")</f>
        <v>-71.290000000000006</v>
      </c>
      <c r="U89" s="797"/>
      <c r="V89" s="791">
        <v>89</v>
      </c>
      <c r="W89" s="697" t="str">
        <f>CONCATENATE("A",V89)</f>
        <v>A89</v>
      </c>
      <c r="X89" s="697" t="str">
        <f>CONCATENATE("D",V89)</f>
        <v>D89</v>
      </c>
      <c r="Y89" s="697" t="str">
        <f>CONCATENATE("E",V89)</f>
        <v>E89</v>
      </c>
      <c r="AA89" s="697"/>
    </row>
    <row r="90" spans="1:27" ht="11" thickTop="1">
      <c r="A90" s="800" t="s">
        <v>241</v>
      </c>
      <c r="B90" s="694"/>
      <c r="C90" s="783">
        <f>+MAINTENANCE!BU41</f>
        <v>0</v>
      </c>
      <c r="D90" s="533">
        <v>0</v>
      </c>
      <c r="E90" s="779">
        <f t="shared" si="1"/>
        <v>0</v>
      </c>
      <c r="F90" s="784" t="s">
        <v>58</v>
      </c>
      <c r="G90" s="321" t="str">
        <f t="shared" si="2"/>
        <v/>
      </c>
      <c r="H90" s="510" t="s">
        <v>194</v>
      </c>
      <c r="I90" s="510"/>
      <c r="J90" s="510"/>
      <c r="K90" s="514"/>
      <c r="L90" s="724" t="s">
        <v>24</v>
      </c>
    </row>
    <row r="91" spans="1:27" ht="8.25" customHeight="1" thickBot="1">
      <c r="A91" s="800" t="s">
        <v>242</v>
      </c>
      <c r="B91" s="694"/>
      <c r="C91" s="783">
        <f>+MAINTENANCE!BU42</f>
        <v>0</v>
      </c>
      <c r="D91" s="533">
        <v>10</v>
      </c>
      <c r="E91" s="779">
        <f t="shared" si="1"/>
        <v>10</v>
      </c>
      <c r="F91" s="784" t="s">
        <v>64</v>
      </c>
      <c r="G91" s="321" t="str">
        <f t="shared" si="2"/>
        <v/>
      </c>
      <c r="H91" s="515"/>
      <c r="I91" s="515"/>
      <c r="J91" s="515"/>
      <c r="K91" s="516"/>
      <c r="L91" s="796"/>
      <c r="N91" s="329" t="s">
        <v>195</v>
      </c>
      <c r="P91" s="330"/>
      <c r="T91" s="816" t="s">
        <v>143</v>
      </c>
      <c r="U91" s="697">
        <f ca="1">SUM(T91:T101)</f>
        <v>227.49</v>
      </c>
      <c r="V91" s="791"/>
      <c r="W91" s="791"/>
      <c r="X91" s="697" t="str">
        <f t="shared" ref="X91:X101" si="8">CONCATENATE("H",V91)</f>
        <v>H</v>
      </c>
      <c r="Y91" s="697" t="str">
        <f t="shared" ref="Y91:Y101" si="9">CONCATENATE("L",V91)</f>
        <v>L</v>
      </c>
      <c r="Z91" s="697" t="str">
        <f t="shared" ref="Z91:Z101" si="10">CONCATENATE("H",W91)</f>
        <v>H</v>
      </c>
      <c r="AA91" s="697" t="str">
        <f t="shared" ref="AA91:AA100" si="11">CONCATENATE("L",W92)</f>
        <v>L</v>
      </c>
    </row>
    <row r="92" spans="1:27" ht="8.25" customHeight="1" thickTop="1">
      <c r="A92" s="800"/>
      <c r="B92" s="694"/>
      <c r="C92" s="783">
        <f>+MAINTENANCE!BU43</f>
        <v>0</v>
      </c>
      <c r="D92" s="533"/>
      <c r="E92" s="779">
        <f t="shared" si="1"/>
        <v>0</v>
      </c>
      <c r="F92" s="784"/>
      <c r="G92" s="321" t="str">
        <f>IF(F92="X","*",IF(OR(F92="P",F92="N"),"",IF(ABS(E92/(D92+0.001))&gt;$J$1,IF(ABS(E92)&gt;20,IF(E92&lt;0,"&gt;","&lt;"),""),"")))</f>
        <v/>
      </c>
      <c r="H92" s="326" t="str">
        <f>+'OTHER COSTS'!A63</f>
        <v>wine glasses</v>
      </c>
      <c r="I92" s="327"/>
      <c r="J92" s="327"/>
      <c r="K92" s="327"/>
      <c r="L92" s="328">
        <f>+'OTHER COSTS'!BT63</f>
        <v>6</v>
      </c>
      <c r="N92" s="817" t="str">
        <f ca="1">CONCATENATE(IF(V92&gt;0,INDIRECT(X92),""),IF(W92&gt;0," &amp; ",""),IF(W92&gt;0,INDIRECT(Z92),""))</f>
        <v>Starter battery</v>
      </c>
      <c r="O92" s="510"/>
      <c r="P92" s="644"/>
      <c r="Q92" s="644"/>
      <c r="R92" s="644"/>
      <c r="S92" s="644"/>
      <c r="T92" s="814">
        <f ca="1">IF(V92&gt;0,INDIRECT(Y92),0)+IF(W92&gt;0,INDIRECT(AA91),0)</f>
        <v>95</v>
      </c>
      <c r="U92" s="798"/>
      <c r="V92" s="791">
        <v>58</v>
      </c>
      <c r="W92" s="791"/>
      <c r="X92" s="697" t="str">
        <f t="shared" si="8"/>
        <v>H58</v>
      </c>
      <c r="Y92" s="697" t="str">
        <f t="shared" si="9"/>
        <v>L58</v>
      </c>
      <c r="Z92" s="697" t="str">
        <f t="shared" si="10"/>
        <v>H</v>
      </c>
      <c r="AA92" s="697" t="str">
        <f t="shared" si="11"/>
        <v>L</v>
      </c>
    </row>
    <row r="93" spans="1:27" ht="8.25" customHeight="1">
      <c r="A93" s="801"/>
      <c r="B93" s="694"/>
      <c r="C93" s="783">
        <f>+MAINTENANCE!BU44</f>
        <v>0</v>
      </c>
      <c r="D93" s="533"/>
      <c r="E93" s="779">
        <f t="shared" si="1"/>
        <v>0</v>
      </c>
      <c r="F93" s="784"/>
      <c r="G93" s="321" t="str">
        <f>IF(F93="X","*",IF(OR(F93="P",F93="N"),"",IF(ABS(E93/(D93+0.001))&gt;$J$1,IF(ABS(E93)&gt;20,IF(E93&lt;0,"&gt;","&lt;"),""),"")))</f>
        <v/>
      </c>
      <c r="H93" s="321">
        <f>+'OTHER COSTS'!A64</f>
        <v>0</v>
      </c>
      <c r="L93" s="795">
        <f>+'OTHER COSTS'!BT64</f>
        <v>0</v>
      </c>
      <c r="N93" s="320" t="str">
        <f t="shared" ref="N93:N101" ca="1" si="12">CONCATENATE(IF(V93&gt;0,INDIRECT(X93),""),IF(W93&gt;0," &amp; ",""),IF(W93&gt;0,INDIRECT(Z93),""))</f>
        <v>Battery charger</v>
      </c>
      <c r="O93" s="510"/>
      <c r="P93" s="644"/>
      <c r="Q93" s="644"/>
      <c r="R93" s="644"/>
      <c r="S93" s="644"/>
      <c r="T93" s="814">
        <f t="shared" ref="T93:T101" ca="1" si="13">IF(V93&gt;0,INDIRECT(Y93),0)+IF(W93&gt;0,INDIRECT(AA92),0)</f>
        <v>100</v>
      </c>
      <c r="V93" s="791">
        <v>60</v>
      </c>
      <c r="W93" s="791"/>
      <c r="X93" s="697" t="str">
        <f t="shared" si="8"/>
        <v>H60</v>
      </c>
      <c r="Y93" s="697" t="str">
        <f t="shared" si="9"/>
        <v>L60</v>
      </c>
      <c r="Z93" s="697" t="str">
        <f t="shared" si="10"/>
        <v>H</v>
      </c>
      <c r="AA93" s="697" t="str">
        <f t="shared" si="11"/>
        <v>L</v>
      </c>
    </row>
    <row r="94" spans="1:27" ht="8.25" customHeight="1" thickBot="1">
      <c r="A94" s="322" t="s">
        <v>24</v>
      </c>
      <c r="B94" s="323"/>
      <c r="C94" s="847">
        <f>SUM(C54:C93)</f>
        <v>551.74</v>
      </c>
      <c r="D94" s="846">
        <f>SUM(D54:D93)</f>
        <v>958</v>
      </c>
      <c r="E94" s="806">
        <f>SUM(E54:E93)</f>
        <v>406.26</v>
      </c>
      <c r="F94" s="850"/>
      <c r="G94" s="321"/>
      <c r="H94" s="321">
        <f>+'OTHER COSTS'!A65</f>
        <v>0</v>
      </c>
      <c r="L94" s="795">
        <f>+'OTHER COSTS'!BT65</f>
        <v>0</v>
      </c>
      <c r="N94" s="320" t="str">
        <f t="shared" ca="1" si="12"/>
        <v>Fresh water system, underfloor drain pump replacement.</v>
      </c>
      <c r="O94" s="510"/>
      <c r="P94" s="644"/>
      <c r="Q94" s="644"/>
      <c r="R94" s="644"/>
      <c r="S94" s="644"/>
      <c r="T94" s="814">
        <f t="shared" ca="1" si="13"/>
        <v>32.49</v>
      </c>
      <c r="U94" s="799"/>
      <c r="V94" s="791">
        <v>62</v>
      </c>
      <c r="W94" s="791"/>
      <c r="X94" s="697" t="str">
        <f t="shared" si="8"/>
        <v>H62</v>
      </c>
      <c r="Y94" s="697" t="str">
        <f t="shared" si="9"/>
        <v>L62</v>
      </c>
      <c r="Z94" s="697" t="str">
        <f t="shared" si="10"/>
        <v>H</v>
      </c>
      <c r="AA94" s="697" t="str">
        <f t="shared" si="11"/>
        <v>L</v>
      </c>
    </row>
    <row r="95" spans="1:27" ht="8.25" customHeight="1" thickTop="1" thickBot="1">
      <c r="A95" s="802"/>
      <c r="B95" s="694"/>
      <c r="C95" s="807"/>
      <c r="D95" s="808"/>
      <c r="E95" s="809"/>
      <c r="F95" s="848"/>
      <c r="G95" s="692" t="str">
        <f>IF(F95="X","*",IF(OR(F95="P",F95="N"),"",IF(ABS(E95/(D95+0.001))&gt;$J$1,IF(ABS(E95)&gt;20,IF(E95&lt;0,"&gt;","&lt;"),""),"")))</f>
        <v/>
      </c>
      <c r="H95" s="321">
        <f>+'OTHER COSTS'!A66</f>
        <v>0</v>
      </c>
      <c r="L95" s="795">
        <f>+'OTHER COSTS'!BT66</f>
        <v>0</v>
      </c>
      <c r="N95" s="320" t="str">
        <f t="shared" ca="1" si="12"/>
        <v/>
      </c>
      <c r="O95" s="510"/>
      <c r="P95" s="644"/>
      <c r="Q95" s="644"/>
      <c r="R95" s="644"/>
      <c r="S95" s="644"/>
      <c r="T95" s="814">
        <f t="shared" ca="1" si="13"/>
        <v>0</v>
      </c>
      <c r="U95" s="798"/>
      <c r="V95" s="791"/>
      <c r="W95" s="791"/>
      <c r="X95" s="697" t="str">
        <f t="shared" si="8"/>
        <v>H</v>
      </c>
      <c r="Y95" s="697" t="str">
        <f t="shared" si="9"/>
        <v>L</v>
      </c>
      <c r="Z95" s="697" t="str">
        <f t="shared" si="10"/>
        <v>H</v>
      </c>
      <c r="AA95" s="697" t="str">
        <f t="shared" si="11"/>
        <v>L</v>
      </c>
    </row>
    <row r="96" spans="1:27" ht="8.25" customHeight="1" thickTop="1">
      <c r="A96" s="553" t="s">
        <v>81</v>
      </c>
      <c r="B96" s="327"/>
      <c r="C96" s="735"/>
      <c r="D96" s="851"/>
      <c r="E96" s="852"/>
      <c r="F96" s="762"/>
      <c r="G96" s="692" t="str">
        <f>IF(F96="X","*",IF(OR(F96="P",F96="N"),"",IF(ABS(E96/(D96+0.001))&gt;$J$1,IF(ABS(E96)&gt;20,IF(E96&lt;0,"&gt;","&lt;"),""),"")))</f>
        <v/>
      </c>
      <c r="H96" s="321">
        <f>+'OTHER COSTS'!A67</f>
        <v>0</v>
      </c>
      <c r="L96" s="795">
        <f>+'OTHER COSTS'!BT67</f>
        <v>0</v>
      </c>
      <c r="N96" s="320" t="str">
        <f t="shared" ca="1" si="12"/>
        <v/>
      </c>
      <c r="O96" s="510"/>
      <c r="P96" s="644"/>
      <c r="Q96" s="644"/>
      <c r="R96" s="644"/>
      <c r="S96" s="644"/>
      <c r="T96" s="814">
        <f t="shared" ca="1" si="13"/>
        <v>0</v>
      </c>
      <c r="U96" s="798"/>
      <c r="V96" s="791"/>
      <c r="W96" s="791"/>
      <c r="X96" s="697" t="str">
        <f t="shared" si="8"/>
        <v>H</v>
      </c>
      <c r="Y96" s="697" t="str">
        <f t="shared" si="9"/>
        <v>L</v>
      </c>
      <c r="Z96" s="697" t="str">
        <f t="shared" si="10"/>
        <v>H</v>
      </c>
      <c r="AA96" s="697" t="str">
        <f t="shared" si="11"/>
        <v>L</v>
      </c>
    </row>
    <row r="97" spans="1:27" ht="8.25" customHeight="1">
      <c r="A97" s="653" t="s">
        <v>243</v>
      </c>
      <c r="B97" s="692"/>
      <c r="C97" s="783">
        <f>B49</f>
        <v>0</v>
      </c>
      <c r="D97" s="783">
        <v>1400</v>
      </c>
      <c r="E97" s="779">
        <f t="shared" si="1"/>
        <v>1400</v>
      </c>
      <c r="F97" s="853" t="s">
        <v>64</v>
      </c>
      <c r="G97" s="692" t="str">
        <f t="shared" ref="G97:G98" si="14">IF(F97="X","*",IF(OR(F97="P",F97="N"),"",IF(ABS(E97/(D97+0.001))&gt;$J$1,IF(ABS(E97)&gt;20,IF(E97&lt;0,"&gt;","&lt;"),""),"")))</f>
        <v/>
      </c>
      <c r="H97" s="321">
        <f>+'OTHER COSTS'!A70</f>
        <v>0</v>
      </c>
      <c r="L97" s="795">
        <f>+'OTHER COSTS'!BT70</f>
        <v>0</v>
      </c>
      <c r="N97" s="320" t="str">
        <f t="shared" ca="1" si="12"/>
        <v/>
      </c>
      <c r="O97" s="510"/>
      <c r="P97" s="644"/>
      <c r="Q97" s="644"/>
      <c r="R97" s="644"/>
      <c r="S97" s="644"/>
      <c r="T97" s="814">
        <f t="shared" ca="1" si="13"/>
        <v>0</v>
      </c>
      <c r="U97" s="798"/>
      <c r="V97" s="791"/>
      <c r="W97" s="791"/>
      <c r="X97" s="697" t="str">
        <f t="shared" si="8"/>
        <v>H</v>
      </c>
      <c r="Y97" s="697" t="str">
        <f t="shared" si="9"/>
        <v>L</v>
      </c>
      <c r="Z97" s="697" t="str">
        <f t="shared" si="10"/>
        <v>H</v>
      </c>
      <c r="AA97" s="697" t="str">
        <f t="shared" si="11"/>
        <v>L</v>
      </c>
    </row>
    <row r="98" spans="1:27" ht="8.25" customHeight="1">
      <c r="A98" s="801"/>
      <c r="B98" s="694"/>
      <c r="C98" s="783">
        <f>+MAINTENANCE!BU49</f>
        <v>0</v>
      </c>
      <c r="D98" s="533"/>
      <c r="E98" s="779">
        <f t="shared" si="1"/>
        <v>0</v>
      </c>
      <c r="F98" s="853"/>
      <c r="G98" s="692" t="str">
        <f t="shared" si="14"/>
        <v/>
      </c>
      <c r="H98" s="321">
        <f>+'OTHER COSTS'!A71</f>
        <v>0</v>
      </c>
      <c r="L98" s="795">
        <f>+'OTHER COSTS'!BT71</f>
        <v>0</v>
      </c>
      <c r="N98" s="320" t="str">
        <f t="shared" ca="1" si="12"/>
        <v/>
      </c>
      <c r="O98" s="510"/>
      <c r="P98" s="644"/>
      <c r="Q98" s="644"/>
      <c r="R98" s="644"/>
      <c r="S98" s="644"/>
      <c r="T98" s="814">
        <f t="shared" ca="1" si="13"/>
        <v>0</v>
      </c>
      <c r="U98" s="798"/>
      <c r="V98" s="791"/>
      <c r="W98" s="791"/>
      <c r="X98" s="697" t="str">
        <f t="shared" si="8"/>
        <v>H</v>
      </c>
      <c r="Y98" s="697" t="str">
        <f t="shared" si="9"/>
        <v>L</v>
      </c>
      <c r="Z98" s="697" t="str">
        <f t="shared" si="10"/>
        <v>H</v>
      </c>
      <c r="AA98" s="697" t="str">
        <f t="shared" si="11"/>
        <v>L</v>
      </c>
    </row>
    <row r="99" spans="1:27" ht="8.25" customHeight="1" thickBot="1">
      <c r="A99" s="322" t="s">
        <v>24</v>
      </c>
      <c r="B99" s="323"/>
      <c r="C99" s="847">
        <f>SUM(C96:C98)</f>
        <v>0</v>
      </c>
      <c r="D99" s="847">
        <f>SUM(D96:D98)</f>
        <v>1400</v>
      </c>
      <c r="E99" s="847">
        <f>SUM(E96:E98)</f>
        <v>1400</v>
      </c>
      <c r="F99" s="850"/>
      <c r="G99" s="692"/>
      <c r="H99" s="321">
        <f>+'OTHER COSTS'!A72</f>
        <v>0</v>
      </c>
      <c r="L99" s="795">
        <f>+'OTHER COSTS'!BT72</f>
        <v>0</v>
      </c>
      <c r="N99" s="320" t="str">
        <f t="shared" ca="1" si="12"/>
        <v/>
      </c>
      <c r="O99" s="510"/>
      <c r="P99" s="644"/>
      <c r="Q99" s="644"/>
      <c r="R99" s="644"/>
      <c r="S99" s="644"/>
      <c r="T99" s="814">
        <f t="shared" ca="1" si="13"/>
        <v>0</v>
      </c>
      <c r="U99" s="798"/>
      <c r="V99" s="791"/>
      <c r="W99" s="791"/>
      <c r="X99" s="697" t="str">
        <f t="shared" si="8"/>
        <v>H</v>
      </c>
      <c r="Y99" s="697" t="str">
        <f t="shared" si="9"/>
        <v>L</v>
      </c>
      <c r="Z99" s="697" t="str">
        <f t="shared" si="10"/>
        <v>H</v>
      </c>
      <c r="AA99" s="697" t="str">
        <f t="shared" si="11"/>
        <v>L</v>
      </c>
    </row>
    <row r="100" spans="1:27" ht="8.25" customHeight="1" thickTop="1">
      <c r="A100" s="802"/>
      <c r="C100" s="807"/>
      <c r="D100" s="808"/>
      <c r="E100" s="809"/>
      <c r="F100" s="849"/>
      <c r="G100" s="692" t="str">
        <f t="shared" ref="G100:G106" si="15">IF(F100="X","*",IF(OR(F100="P",F100="N"),"",IF(ABS(E100/(D100+0.001))&gt;$J$1,IF(ABS(E100)&gt;20,IF(E100&lt;0,"&gt;","&lt;"),""),"")))</f>
        <v/>
      </c>
      <c r="H100" s="321">
        <f>+'OTHER COSTS'!A73</f>
        <v>0</v>
      </c>
      <c r="L100" s="795">
        <f>+'OTHER COSTS'!BT73</f>
        <v>0</v>
      </c>
      <c r="N100" s="320" t="str">
        <f t="shared" ca="1" si="12"/>
        <v/>
      </c>
      <c r="O100" s="510"/>
      <c r="P100" s="644"/>
      <c r="Q100" s="644"/>
      <c r="R100" s="644"/>
      <c r="S100" s="644"/>
      <c r="T100" s="814">
        <f t="shared" ca="1" si="13"/>
        <v>0</v>
      </c>
      <c r="U100" s="798"/>
      <c r="V100" s="791"/>
      <c r="W100" s="791"/>
      <c r="X100" s="697" t="str">
        <f t="shared" si="8"/>
        <v>H</v>
      </c>
      <c r="Y100" s="697" t="str">
        <f t="shared" si="9"/>
        <v>L</v>
      </c>
      <c r="Z100" s="697" t="str">
        <f t="shared" si="10"/>
        <v>H</v>
      </c>
      <c r="AA100" s="697" t="str">
        <f t="shared" si="11"/>
        <v>L</v>
      </c>
    </row>
    <row r="101" spans="1:27" ht="8.25" hidden="1" customHeight="1">
      <c r="A101" s="321"/>
      <c r="C101" s="807"/>
      <c r="D101" s="808"/>
      <c r="E101" s="809"/>
      <c r="F101" s="849"/>
      <c r="G101" s="692" t="str">
        <f t="shared" si="15"/>
        <v/>
      </c>
      <c r="H101" s="803"/>
      <c r="L101" s="795"/>
      <c r="N101" s="320" t="str">
        <f t="shared" ca="1" si="12"/>
        <v/>
      </c>
      <c r="O101" s="510"/>
      <c r="P101" s="644"/>
      <c r="Q101" s="644"/>
      <c r="R101" s="644"/>
      <c r="S101" s="644"/>
      <c r="T101" s="814">
        <f t="shared" ca="1" si="13"/>
        <v>0</v>
      </c>
      <c r="U101" s="798"/>
      <c r="V101" s="791"/>
      <c r="W101" s="791"/>
      <c r="X101" s="697" t="str">
        <f t="shared" si="8"/>
        <v>H</v>
      </c>
      <c r="Y101" s="697" t="str">
        <f t="shared" si="9"/>
        <v>L</v>
      </c>
      <c r="Z101" s="697" t="str">
        <f t="shared" si="10"/>
        <v>H</v>
      </c>
      <c r="AA101" s="697" t="e">
        <f>CONCATENATE("L",#REF!)</f>
        <v>#REF!</v>
      </c>
    </row>
    <row r="102" spans="1:27" ht="8.25" hidden="1" customHeight="1">
      <c r="A102" s="804"/>
      <c r="C102" s="807"/>
      <c r="D102" s="808"/>
      <c r="E102" s="809"/>
      <c r="F102" s="849"/>
      <c r="G102" s="692" t="str">
        <f t="shared" si="15"/>
        <v/>
      </c>
      <c r="H102" s="321"/>
      <c r="L102" s="795"/>
      <c r="T102" s="812"/>
    </row>
    <row r="103" spans="1:27" ht="8.25" hidden="1" customHeight="1">
      <c r="A103" s="803"/>
      <c r="C103" s="807"/>
      <c r="D103" s="808"/>
      <c r="E103" s="809"/>
      <c r="F103" s="849"/>
      <c r="G103" s="692" t="str">
        <f t="shared" si="15"/>
        <v/>
      </c>
      <c r="H103" s="803"/>
      <c r="L103" s="795"/>
      <c r="T103" s="812"/>
    </row>
    <row r="104" spans="1:27" ht="8.25" hidden="1" customHeight="1">
      <c r="A104" s="803"/>
      <c r="C104" s="807"/>
      <c r="D104" s="808"/>
      <c r="E104" s="809"/>
      <c r="F104" s="849"/>
      <c r="G104" s="692" t="str">
        <f t="shared" si="15"/>
        <v/>
      </c>
      <c r="H104" s="321"/>
      <c r="L104" s="795"/>
      <c r="T104" s="812"/>
    </row>
    <row r="105" spans="1:27" ht="8.25" hidden="1" customHeight="1">
      <c r="A105" s="804"/>
      <c r="C105" s="807"/>
      <c r="D105" s="808"/>
      <c r="E105" s="809"/>
      <c r="F105" s="849"/>
      <c r="G105" s="692" t="str">
        <f t="shared" si="15"/>
        <v/>
      </c>
      <c r="H105" s="321"/>
      <c r="L105" s="795"/>
      <c r="T105" s="812"/>
    </row>
    <row r="106" spans="1:27" ht="8.25" hidden="1" customHeight="1">
      <c r="A106" s="803"/>
      <c r="C106" s="807"/>
      <c r="D106" s="808"/>
      <c r="E106" s="809"/>
      <c r="F106" s="849"/>
      <c r="G106" s="692" t="str">
        <f t="shared" si="15"/>
        <v/>
      </c>
      <c r="H106" s="321"/>
      <c r="L106" s="795"/>
      <c r="T106" s="812"/>
    </row>
    <row r="107" spans="1:27" ht="8.25" hidden="1" customHeight="1">
      <c r="A107" s="803"/>
      <c r="C107" s="807"/>
      <c r="D107" s="808"/>
      <c r="E107" s="809"/>
      <c r="F107" s="849"/>
      <c r="G107" s="692"/>
      <c r="H107" s="321"/>
      <c r="L107" s="795"/>
      <c r="T107" s="812"/>
    </row>
    <row r="108" spans="1:27" ht="8.25" hidden="1" customHeight="1">
      <c r="A108" s="321"/>
      <c r="C108" s="807"/>
      <c r="D108" s="808"/>
      <c r="E108" s="809"/>
      <c r="F108" s="849"/>
      <c r="G108" s="692"/>
      <c r="H108" s="321"/>
      <c r="L108" s="795"/>
      <c r="T108" s="812"/>
    </row>
    <row r="109" spans="1:27" ht="8.25" hidden="1" customHeight="1">
      <c r="A109" s="803"/>
      <c r="C109" s="807"/>
      <c r="D109" s="808"/>
      <c r="E109" s="809"/>
      <c r="F109" s="849"/>
      <c r="G109" s="692" t="str">
        <f t="shared" ref="G109:G119" si="16">IF(F109="X","*",IF(OR(F109="P",F109="N"),"",IF(ABS(E109/(D109+0.001))&gt;$J$1,IF(ABS(E109)&gt;20,IF(E109&lt;0,"&gt;","&lt;"),""),"")))</f>
        <v/>
      </c>
      <c r="H109" s="321"/>
      <c r="L109" s="795"/>
      <c r="T109" s="812"/>
    </row>
    <row r="110" spans="1:27" ht="8.25" hidden="1" customHeight="1">
      <c r="A110" s="321"/>
      <c r="C110" s="807"/>
      <c r="D110" s="808"/>
      <c r="E110" s="809"/>
      <c r="F110" s="849"/>
      <c r="G110" s="692" t="str">
        <f t="shared" si="16"/>
        <v/>
      </c>
      <c r="H110" s="321"/>
      <c r="L110" s="795"/>
      <c r="T110" s="812"/>
    </row>
    <row r="111" spans="1:27" ht="8.25" hidden="1" customHeight="1">
      <c r="A111" s="803"/>
      <c r="C111" s="807"/>
      <c r="D111" s="808"/>
      <c r="E111" s="809"/>
      <c r="F111" s="692"/>
      <c r="G111" s="692" t="str">
        <f t="shared" si="16"/>
        <v/>
      </c>
      <c r="H111" s="321"/>
      <c r="L111" s="795"/>
      <c r="N111" s="320" t="str">
        <f ca="1">CONCATENATE(IF(V111&gt;0,INDIRECT(X111),""),IF(W111&gt;0," &amp; ",""),IF(W111&gt;0,INDIRECT(Z111),""))</f>
        <v/>
      </c>
      <c r="T111" s="814">
        <f ca="1">IF(V111&gt;0,INDIRECT(Y111),0)+IF(W111&gt;0,INDIRECT(AA111),0)</f>
        <v>0</v>
      </c>
      <c r="V111" s="791"/>
      <c r="W111" s="791"/>
      <c r="X111" s="697" t="str">
        <f>CONCATENATE("H",V111)</f>
        <v>H</v>
      </c>
      <c r="Y111" s="697" t="str">
        <f>CONCATENATE("L",V111)</f>
        <v>L</v>
      </c>
      <c r="Z111" s="697" t="str">
        <f>CONCATENATE("H",W111)</f>
        <v>H</v>
      </c>
      <c r="AA111" s="697" t="str">
        <f>CONCATENATE("L",W111)</f>
        <v>L</v>
      </c>
    </row>
    <row r="112" spans="1:27" ht="8.25" hidden="1" customHeight="1">
      <c r="A112" s="805"/>
      <c r="C112" s="807"/>
      <c r="D112" s="808"/>
      <c r="E112" s="809"/>
      <c r="F112" s="692"/>
      <c r="G112" s="692" t="str">
        <f t="shared" si="16"/>
        <v/>
      </c>
      <c r="H112" s="321"/>
      <c r="L112" s="795"/>
      <c r="N112" s="320" t="str">
        <f ca="1">CONCATENATE(IF(V112&gt;0,INDIRECT(X112),""),IF(W112&gt;0," &amp; ",""),IF(W112&gt;0,INDIRECT(Z112),""))</f>
        <v/>
      </c>
      <c r="T112" s="814">
        <f ca="1">IF(V112&gt;0,INDIRECT(Y112),0)+IF(W112&gt;0,INDIRECT(AA112),0)</f>
        <v>0</v>
      </c>
      <c r="V112" s="791"/>
      <c r="W112" s="791"/>
      <c r="X112" s="697" t="str">
        <f>CONCATENATE("H",V112)</f>
        <v>H</v>
      </c>
      <c r="Y112" s="697" t="str">
        <f>CONCATENATE("L",V112)</f>
        <v>L</v>
      </c>
      <c r="Z112" s="697" t="str">
        <f>CONCATENATE("H",W112)</f>
        <v>H</v>
      </c>
      <c r="AA112" s="697" t="str">
        <f>CONCATENATE("L",W112)</f>
        <v>L</v>
      </c>
    </row>
    <row r="113" spans="1:27" ht="8.25" hidden="1" customHeight="1">
      <c r="A113" s="803"/>
      <c r="C113" s="807"/>
      <c r="D113" s="808"/>
      <c r="E113" s="809"/>
      <c r="F113" s="692"/>
      <c r="G113" s="692" t="str">
        <f t="shared" si="16"/>
        <v/>
      </c>
      <c r="H113" s="321"/>
      <c r="L113" s="795"/>
      <c r="N113" s="320" t="str">
        <f ca="1">CONCATENATE(IF(V113&gt;0,INDIRECT(X113),""),IF(W113&gt;0," &amp; ",""),IF(W113&gt;0,INDIRECT(Z113),""))</f>
        <v/>
      </c>
      <c r="T113" s="814">
        <f ca="1">IF(V113&gt;0,INDIRECT(Y113),0)+IF(W113&gt;0,INDIRECT(AA113),0)</f>
        <v>0</v>
      </c>
      <c r="V113" s="791"/>
      <c r="W113" s="791"/>
      <c r="X113" s="697" t="str">
        <f>CONCATENATE("H",V113)</f>
        <v>H</v>
      </c>
      <c r="Y113" s="697" t="str">
        <f>CONCATENATE("L",V113)</f>
        <v>L</v>
      </c>
      <c r="Z113" s="697" t="str">
        <f>CONCATENATE("H",W113)</f>
        <v>H</v>
      </c>
      <c r="AA113" s="697" t="str">
        <f>CONCATENATE("L",W113)</f>
        <v>L</v>
      </c>
    </row>
    <row r="114" spans="1:27" ht="8.25" hidden="1" customHeight="1">
      <c r="A114" s="803"/>
      <c r="C114" s="807"/>
      <c r="D114" s="808"/>
      <c r="E114" s="809"/>
      <c r="F114" s="692"/>
      <c r="G114" s="692" t="str">
        <f t="shared" si="16"/>
        <v/>
      </c>
      <c r="H114" s="321"/>
      <c r="L114" s="795"/>
      <c r="N114" s="320" t="str">
        <f ca="1">CONCATENATE(IF(V114&gt;0,INDIRECT(X114),""),IF(W114&gt;0," &amp; ",""),IF(W114&gt;0,INDIRECT(Z114),""))</f>
        <v/>
      </c>
      <c r="T114" s="814">
        <f ca="1">IF(V114&gt;0,INDIRECT(Y114),0)+IF(W114&gt;0,INDIRECT(AA114),0)</f>
        <v>0</v>
      </c>
      <c r="V114" s="791"/>
      <c r="W114" s="791"/>
      <c r="X114" s="697" t="str">
        <f>CONCATENATE("H",V114)</f>
        <v>H</v>
      </c>
      <c r="Y114" s="697" t="str">
        <f>CONCATENATE("L",V114)</f>
        <v>L</v>
      </c>
      <c r="Z114" s="697" t="str">
        <f>CONCATENATE("H",W114)</f>
        <v>H</v>
      </c>
      <c r="AA114" s="697" t="str">
        <f>CONCATENATE("L",W114)</f>
        <v>L</v>
      </c>
    </row>
    <row r="115" spans="1:27" ht="8.25" hidden="1" customHeight="1">
      <c r="A115" s="803"/>
      <c r="C115" s="807"/>
      <c r="D115" s="808"/>
      <c r="E115" s="809"/>
      <c r="F115" s="692"/>
      <c r="G115" s="692" t="str">
        <f t="shared" si="16"/>
        <v/>
      </c>
      <c r="H115" s="321"/>
      <c r="L115" s="795"/>
      <c r="N115" s="320" t="str">
        <f ca="1">CONCATENATE(IF(V115&gt;0,INDIRECT(X115),""),IF(W115&gt;0," &amp; ",""),IF(W115&gt;0,INDIRECT(Z115),""))</f>
        <v/>
      </c>
      <c r="T115" s="814">
        <f ca="1">IF(V115&gt;0,INDIRECT(Y115),0)+IF(W115&gt;0,INDIRECT(AA115),0)</f>
        <v>0</v>
      </c>
      <c r="V115" s="791"/>
      <c r="W115" s="791"/>
      <c r="X115" s="697" t="str">
        <f>CONCATENATE("H",V115)</f>
        <v>H</v>
      </c>
      <c r="Y115" s="697" t="str">
        <f>CONCATENATE("L",V115)</f>
        <v>L</v>
      </c>
      <c r="Z115" s="697" t="str">
        <f>CONCATENATE("H",W115)</f>
        <v>H</v>
      </c>
      <c r="AA115" s="697" t="str">
        <f>CONCATENATE("L",W115)</f>
        <v>L</v>
      </c>
    </row>
    <row r="116" spans="1:27" ht="8.25" hidden="1" customHeight="1">
      <c r="A116" s="803"/>
      <c r="C116" s="807"/>
      <c r="D116" s="808"/>
      <c r="E116" s="809"/>
      <c r="F116" s="692"/>
      <c r="G116" s="692" t="str">
        <f t="shared" si="16"/>
        <v/>
      </c>
      <c r="H116" s="321"/>
      <c r="L116" s="795"/>
      <c r="N116" s="510"/>
      <c r="T116" s="812"/>
    </row>
    <row r="117" spans="1:27" ht="8.25" hidden="1" customHeight="1">
      <c r="A117" s="803"/>
      <c r="C117" s="692"/>
      <c r="D117" s="808"/>
      <c r="E117" s="809"/>
      <c r="F117" s="692"/>
      <c r="G117" s="692" t="str">
        <f t="shared" si="16"/>
        <v/>
      </c>
      <c r="H117" s="321">
        <f>+'OTHER COSTS'!A72</f>
        <v>0</v>
      </c>
      <c r="L117" s="795">
        <f>+'OTHER COSTS'!BT72</f>
        <v>0</v>
      </c>
      <c r="T117" s="812"/>
    </row>
    <row r="118" spans="1:27" ht="8.25" hidden="1" customHeight="1">
      <c r="A118" s="803"/>
      <c r="C118" s="692"/>
      <c r="D118" s="808"/>
      <c r="E118" s="809"/>
      <c r="F118" s="692"/>
      <c r="G118" s="692" t="str">
        <f t="shared" si="16"/>
        <v/>
      </c>
      <c r="H118" s="321">
        <f>+'OTHER COSTS'!A73</f>
        <v>0</v>
      </c>
      <c r="L118" s="795">
        <f>+'OTHER COSTS'!BT73</f>
        <v>0</v>
      </c>
      <c r="N118" s="329"/>
      <c r="T118" s="812"/>
    </row>
    <row r="119" spans="1:27" ht="8.25" hidden="1" customHeight="1">
      <c r="A119" s="803"/>
      <c r="C119" s="692"/>
      <c r="D119" s="808"/>
      <c r="E119" s="809"/>
      <c r="F119" s="692"/>
      <c r="G119" s="692" t="str">
        <f t="shared" si="16"/>
        <v/>
      </c>
      <c r="H119" s="321"/>
      <c r="L119" s="795">
        <v>0</v>
      </c>
      <c r="T119" s="812"/>
    </row>
    <row r="120" spans="1:27" ht="8.25" customHeight="1" thickBot="1">
      <c r="C120" s="692"/>
      <c r="D120" s="692"/>
      <c r="E120" s="692"/>
      <c r="F120" s="692"/>
      <c r="G120" s="692" t="str">
        <f>IF(F121="X","*",IF(OR(F121="P",F121="N"),"",IF(ABS(E121/(D121+0.001))&gt;$J$1,IF(ABS(E121)&gt;20,IF(E121&lt;0,"&gt;","&lt;"),""),"")))</f>
        <v/>
      </c>
      <c r="H120" s="322" t="s">
        <v>24</v>
      </c>
      <c r="I120" s="323"/>
      <c r="J120" s="323"/>
      <c r="K120" s="323"/>
      <c r="L120" s="324">
        <f>SUM(L92:L100)</f>
        <v>6</v>
      </c>
      <c r="T120" s="812"/>
    </row>
    <row r="121" spans="1:27" ht="7.5" thickTop="1">
      <c r="A121" s="807"/>
      <c r="B121" s="692"/>
      <c r="C121" s="807"/>
      <c r="D121" s="808"/>
      <c r="E121" s="809"/>
      <c r="F121" s="692"/>
      <c r="G121" s="692"/>
      <c r="T121" s="812"/>
    </row>
  </sheetData>
  <mergeCells count="4">
    <mergeCell ref="A21:A23"/>
    <mergeCell ref="D34:I36"/>
    <mergeCell ref="R23:T23"/>
    <mergeCell ref="N35:T36"/>
  </mergeCells>
  <phoneticPr fontId="9" type="noConversion"/>
  <printOptions horizontalCentered="1"/>
  <pageMargins left="7.874015748031496E-2" right="7.874015748031496E-2" top="7.874015748031496E-2" bottom="7.874015748031496E-2" header="0" footer="0.27559055118110237"/>
  <pageSetup paperSize="9" scale="90" fitToHeight="2" orientation="landscape" verticalDpi="4" r:id="rId1"/>
  <headerFooter alignWithMargins="0"/>
  <rowBreaks count="1" manualBreakCount="1">
    <brk id="51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HK156"/>
  <sheetViews>
    <sheetView showZeros="0" topLeftCell="A7" zoomScale="125" zoomScaleNormal="125" workbookViewId="0">
      <pane xSplit="1" topLeftCell="B1" activePane="topRight" state="frozen"/>
      <selection activeCell="R6" sqref="R6"/>
      <selection pane="topRight" activeCell="D30" sqref="D30"/>
    </sheetView>
  </sheetViews>
  <sheetFormatPr defaultColWidth="16" defaultRowHeight="7"/>
  <cols>
    <col min="1" max="1" width="53" style="1" customWidth="1"/>
    <col min="2" max="19" width="11" style="1" customWidth="1"/>
    <col min="20" max="20" width="2" style="1" customWidth="1"/>
    <col min="21" max="22" width="11" style="1" customWidth="1"/>
    <col min="23" max="31" width="16" style="70" customWidth="1"/>
    <col min="32" max="16384" width="16" style="1"/>
  </cols>
  <sheetData>
    <row r="1" spans="1:213" ht="35">
      <c r="A1" s="875" t="s">
        <v>164</v>
      </c>
      <c r="I1" s="221" t="s">
        <v>102</v>
      </c>
      <c r="T1" s="821" t="str">
        <f>Summary!$T$2</f>
        <v>23 January 2020</v>
      </c>
      <c r="U1" s="90"/>
    </row>
    <row r="2" spans="1:213" ht="18.75" customHeight="1">
      <c r="A2" s="876"/>
      <c r="C2" s="2"/>
      <c r="I2" s="48"/>
      <c r="K2" s="221"/>
      <c r="L2" s="221"/>
      <c r="U2" s="89"/>
    </row>
    <row r="3" spans="1:213" ht="18.75" customHeight="1" thickBot="1">
      <c r="A3" s="877"/>
      <c r="B3" s="440"/>
      <c r="I3" s="10"/>
      <c r="K3" s="221"/>
      <c r="L3" s="221"/>
      <c r="U3" s="89"/>
    </row>
    <row r="4" spans="1:213" ht="11.5" thickTop="1" thickBot="1">
      <c r="A4" s="68" t="s">
        <v>184</v>
      </c>
      <c r="D4" s="12" t="s">
        <v>182</v>
      </c>
      <c r="E4" s="507" t="s">
        <v>186</v>
      </c>
      <c r="F4" s="506"/>
      <c r="H4" s="506"/>
      <c r="I4" s="506"/>
      <c r="J4" s="506"/>
      <c r="K4" s="506"/>
      <c r="L4" s="506"/>
      <c r="T4" s="228"/>
      <c r="V4" s="235"/>
    </row>
    <row r="5" spans="1:213" s="3" customFormat="1" ht="7.5" thickTop="1">
      <c r="A5" s="87" t="s">
        <v>71</v>
      </c>
      <c r="B5" s="473" t="s">
        <v>165</v>
      </c>
      <c r="C5" s="473" t="s">
        <v>167</v>
      </c>
      <c r="D5" s="482" t="s">
        <v>166</v>
      </c>
      <c r="E5" s="547" t="s">
        <v>119</v>
      </c>
      <c r="F5" s="547" t="s">
        <v>255</v>
      </c>
      <c r="G5" s="547" t="s">
        <v>67</v>
      </c>
      <c r="H5" s="547" t="s">
        <v>257</v>
      </c>
      <c r="I5" s="547" t="s">
        <v>257</v>
      </c>
      <c r="J5" s="547" t="s">
        <v>262</v>
      </c>
      <c r="K5" s="547" t="s">
        <v>119</v>
      </c>
      <c r="L5" s="547" t="s">
        <v>119</v>
      </c>
      <c r="M5" s="547" t="s">
        <v>122</v>
      </c>
      <c r="N5" s="341" t="s">
        <v>180</v>
      </c>
      <c r="O5" s="341" t="s">
        <v>180</v>
      </c>
      <c r="P5" s="341" t="s">
        <v>180</v>
      </c>
      <c r="Q5" s="341" t="s">
        <v>180</v>
      </c>
      <c r="R5" s="341" t="s">
        <v>180</v>
      </c>
      <c r="S5" s="341" t="s">
        <v>180</v>
      </c>
      <c r="T5" s="90"/>
      <c r="U5" s="70"/>
      <c r="V5" s="70"/>
      <c r="W5" s="90"/>
      <c r="X5" s="70"/>
      <c r="Y5" s="90"/>
      <c r="Z5" s="90"/>
      <c r="AA5" s="90"/>
      <c r="AB5" s="90"/>
      <c r="AC5" s="90"/>
      <c r="AD5" s="90"/>
      <c r="AE5" s="90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</row>
    <row r="6" spans="1:213" s="70" customFormat="1">
      <c r="A6" s="7" t="s">
        <v>72</v>
      </c>
      <c r="B6" s="844">
        <f>DATE(Summary!$B$1,1,30)</f>
        <v>43495</v>
      </c>
      <c r="C6" s="342">
        <v>43719</v>
      </c>
      <c r="D6" s="342"/>
      <c r="E6" s="342">
        <v>43495</v>
      </c>
      <c r="F6" s="342">
        <v>43539</v>
      </c>
      <c r="G6" s="342">
        <v>43581</v>
      </c>
      <c r="H6" s="342">
        <v>43584</v>
      </c>
      <c r="I6" s="342">
        <v>43641</v>
      </c>
      <c r="J6" s="342">
        <v>43810</v>
      </c>
      <c r="K6" s="342">
        <v>43581</v>
      </c>
      <c r="L6" s="342">
        <v>43806</v>
      </c>
      <c r="M6" s="342">
        <v>43823</v>
      </c>
      <c r="N6" s="342" t="s">
        <v>183</v>
      </c>
      <c r="O6" s="342" t="s">
        <v>183</v>
      </c>
      <c r="P6" s="342" t="s">
        <v>183</v>
      </c>
      <c r="Q6" s="342" t="s">
        <v>183</v>
      </c>
      <c r="R6" s="342" t="s">
        <v>183</v>
      </c>
      <c r="S6" s="342" t="s">
        <v>183</v>
      </c>
      <c r="T6" s="89"/>
    </row>
    <row r="7" spans="1:213" s="209" customFormat="1">
      <c r="A7" s="217" t="s">
        <v>14</v>
      </c>
      <c r="B7" s="490"/>
      <c r="C7" s="490"/>
      <c r="D7" s="490"/>
      <c r="E7" s="490"/>
      <c r="F7" s="490"/>
      <c r="G7" s="490"/>
      <c r="H7" s="490"/>
      <c r="I7" s="490"/>
      <c r="J7" s="490"/>
      <c r="K7" s="490"/>
      <c r="L7" s="490"/>
      <c r="M7" s="490"/>
      <c r="N7" s="490"/>
      <c r="O7" s="490"/>
      <c r="P7" s="490"/>
      <c r="Q7" s="490"/>
      <c r="R7" s="490"/>
      <c r="S7" s="490"/>
      <c r="T7" s="89"/>
    </row>
    <row r="8" spans="1:213" s="218" customFormat="1" ht="7.5" thickBot="1">
      <c r="A8" s="219" t="s">
        <v>15</v>
      </c>
      <c r="B8" s="491"/>
      <c r="C8" s="491"/>
      <c r="D8" s="491"/>
      <c r="E8" s="491"/>
      <c r="F8" s="491"/>
      <c r="G8" s="491"/>
      <c r="H8" s="491"/>
      <c r="I8" s="491"/>
      <c r="J8" s="491"/>
      <c r="K8" s="491"/>
      <c r="L8" s="491"/>
      <c r="M8" s="491"/>
      <c r="N8" s="491"/>
      <c r="O8" s="491"/>
      <c r="P8" s="491"/>
      <c r="Q8" s="491"/>
      <c r="R8" s="491"/>
      <c r="S8" s="491"/>
      <c r="T8" s="209"/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</row>
    <row r="9" spans="1:213" s="284" customFormat="1" ht="7.5" hidden="1" thickTop="1">
      <c r="A9" s="282" t="s">
        <v>131</v>
      </c>
      <c r="B9" s="492"/>
      <c r="C9" s="492"/>
      <c r="D9" s="492"/>
      <c r="E9" s="492"/>
      <c r="F9" s="492"/>
      <c r="G9" s="492"/>
      <c r="H9" s="492"/>
      <c r="I9" s="492"/>
      <c r="J9" s="492"/>
      <c r="K9" s="492"/>
      <c r="L9" s="492"/>
      <c r="M9" s="492"/>
      <c r="N9" s="492"/>
      <c r="O9" s="492"/>
      <c r="P9" s="492"/>
      <c r="Q9" s="492"/>
      <c r="R9" s="492"/>
      <c r="S9" s="492"/>
      <c r="T9" s="285"/>
      <c r="W9" s="285"/>
      <c r="X9" s="285"/>
      <c r="Y9" s="285"/>
      <c r="Z9" s="285"/>
      <c r="AA9" s="285"/>
      <c r="AB9" s="285"/>
      <c r="AC9" s="285"/>
      <c r="AD9" s="285"/>
      <c r="AE9" s="285"/>
    </row>
    <row r="10" spans="1:213" s="284" customFormat="1" hidden="1">
      <c r="A10" s="276" t="s">
        <v>147</v>
      </c>
      <c r="B10" s="493" t="b">
        <f t="shared" ref="B10:S10" si="0">OR(ISNUMBER(HLOOKUP(B9,B46:S47,2)),ISNUMBER(HLOOKUP(B9,B83:S86,2)))</f>
        <v>0</v>
      </c>
      <c r="C10" s="493" t="b">
        <f t="shared" si="0"/>
        <v>0</v>
      </c>
      <c r="D10" s="493" t="b">
        <f t="shared" si="0"/>
        <v>0</v>
      </c>
      <c r="E10" s="493" t="b">
        <f t="shared" si="0"/>
        <v>0</v>
      </c>
      <c r="F10" s="493" t="b">
        <f t="shared" si="0"/>
        <v>0</v>
      </c>
      <c r="G10" s="493" t="b">
        <f t="shared" si="0"/>
        <v>0</v>
      </c>
      <c r="H10" s="493" t="b">
        <f t="shared" si="0"/>
        <v>0</v>
      </c>
      <c r="I10" s="493" t="b">
        <f t="shared" si="0"/>
        <v>0</v>
      </c>
      <c r="J10" s="493" t="b">
        <f t="shared" ref="J10" si="1">OR(ISNUMBER(HLOOKUP(J9,J46:AA47,2)),ISNUMBER(HLOOKUP(J9,J83:AA86,2)))</f>
        <v>0</v>
      </c>
      <c r="K10" s="493" t="b">
        <f t="shared" ref="K10" si="2">OR(ISNUMBER(HLOOKUP(K9,K46:AB47,2)),ISNUMBER(HLOOKUP(K9,K83:AB86,2)))</f>
        <v>0</v>
      </c>
      <c r="L10" s="493" t="b">
        <f t="shared" ref="L10" si="3">OR(ISNUMBER(HLOOKUP(L9,L46:AC47,2)),ISNUMBER(HLOOKUP(L9,L83:AC86,2)))</f>
        <v>0</v>
      </c>
      <c r="M10" s="493" t="b">
        <f t="shared" ref="M10" si="4">OR(ISNUMBER(HLOOKUP(M9,M46:AD47,2)),ISNUMBER(HLOOKUP(M9,M83:AD86,2)))</f>
        <v>0</v>
      </c>
      <c r="N10" s="493" t="b">
        <f t="shared" ref="N10" si="5">OR(ISNUMBER(HLOOKUP(N9,N46:AE47,2)),ISNUMBER(HLOOKUP(N9,N83:AE86,2)))</f>
        <v>0</v>
      </c>
      <c r="O10" s="493" t="b">
        <f t="shared" si="0"/>
        <v>0</v>
      </c>
      <c r="P10" s="493" t="b">
        <f t="shared" si="0"/>
        <v>0</v>
      </c>
      <c r="Q10" s="493" t="b">
        <f t="shared" si="0"/>
        <v>0</v>
      </c>
      <c r="R10" s="493" t="b">
        <f t="shared" si="0"/>
        <v>0</v>
      </c>
      <c r="S10" s="493" t="b">
        <f t="shared" si="0"/>
        <v>0</v>
      </c>
      <c r="T10" s="285"/>
      <c r="W10" s="285"/>
      <c r="X10" s="285"/>
      <c r="Y10" s="285"/>
      <c r="Z10" s="285"/>
      <c r="AA10" s="285"/>
      <c r="AB10" s="285"/>
      <c r="AC10" s="285"/>
      <c r="AD10" s="285"/>
      <c r="AE10" s="285"/>
    </row>
    <row r="11" spans="1:213" s="284" customFormat="1" hidden="1">
      <c r="A11" s="276" t="s">
        <v>145</v>
      </c>
      <c r="B11" s="493">
        <f>IF(OR(B10,B7=0),0,1)</f>
        <v>0</v>
      </c>
      <c r="C11" s="493">
        <f>IF(OR(C10,C7=0),0,1)</f>
        <v>0</v>
      </c>
      <c r="D11" s="493">
        <f>IF(OR(D10,D7=0),0,1)</f>
        <v>0</v>
      </c>
      <c r="E11" s="493">
        <f>IF(OR(E10,E7=0),0,1)</f>
        <v>0</v>
      </c>
      <c r="F11" s="493">
        <f t="shared" ref="F11:S11" si="6">IF(OR(F10,F7=0),0,1)</f>
        <v>0</v>
      </c>
      <c r="G11" s="493">
        <f t="shared" si="6"/>
        <v>0</v>
      </c>
      <c r="H11" s="493">
        <f t="shared" si="6"/>
        <v>0</v>
      </c>
      <c r="I11" s="493">
        <f t="shared" si="6"/>
        <v>0</v>
      </c>
      <c r="J11" s="493">
        <f t="shared" ref="J11:N11" si="7">IF(OR(J10,J7=0),0,1)</f>
        <v>0</v>
      </c>
      <c r="K11" s="493">
        <f t="shared" si="7"/>
        <v>0</v>
      </c>
      <c r="L11" s="493">
        <f t="shared" si="7"/>
        <v>0</v>
      </c>
      <c r="M11" s="493">
        <f t="shared" si="7"/>
        <v>0</v>
      </c>
      <c r="N11" s="493">
        <f t="shared" si="7"/>
        <v>0</v>
      </c>
      <c r="O11" s="493">
        <f t="shared" si="6"/>
        <v>0</v>
      </c>
      <c r="P11" s="493">
        <f t="shared" si="6"/>
        <v>0</v>
      </c>
      <c r="Q11" s="493">
        <f t="shared" si="6"/>
        <v>0</v>
      </c>
      <c r="R11" s="493">
        <f t="shared" si="6"/>
        <v>0</v>
      </c>
      <c r="S11" s="493">
        <f t="shared" si="6"/>
        <v>0</v>
      </c>
      <c r="T11" s="285"/>
      <c r="W11" s="285"/>
      <c r="X11" s="285"/>
      <c r="Y11" s="285"/>
      <c r="Z11" s="285"/>
      <c r="AA11" s="285"/>
      <c r="AB11" s="285"/>
      <c r="AC11" s="285"/>
      <c r="AD11" s="285"/>
      <c r="AE11" s="285"/>
    </row>
    <row r="12" spans="1:213" s="273" customFormat="1" hidden="1">
      <c r="A12" s="276" t="s">
        <v>146</v>
      </c>
      <c r="B12" s="494">
        <f>IF(B7&gt;0,1,0)</f>
        <v>0</v>
      </c>
      <c r="C12" s="494">
        <f t="shared" ref="C12:S12" si="8">IF(C7&gt;0,IF(C9=B9,B12,B12+1),B12)</f>
        <v>0</v>
      </c>
      <c r="D12" s="494">
        <f t="shared" si="8"/>
        <v>0</v>
      </c>
      <c r="E12" s="494">
        <f t="shared" si="8"/>
        <v>0</v>
      </c>
      <c r="F12" s="494">
        <f t="shared" si="8"/>
        <v>0</v>
      </c>
      <c r="G12" s="494">
        <f t="shared" si="8"/>
        <v>0</v>
      </c>
      <c r="H12" s="494">
        <f t="shared" si="8"/>
        <v>0</v>
      </c>
      <c r="I12" s="494">
        <f t="shared" si="8"/>
        <v>0</v>
      </c>
      <c r="J12" s="494">
        <f t="shared" ref="J12" si="9">IF(J7&gt;0,IF(J9=I9,I12,I12+1),I12)</f>
        <v>0</v>
      </c>
      <c r="K12" s="494">
        <f t="shared" ref="K12" si="10">IF(K7&gt;0,IF(K9=J9,J12,J12+1),J12)</f>
        <v>0</v>
      </c>
      <c r="L12" s="494">
        <f t="shared" ref="L12" si="11">IF(L7&gt;0,IF(L9=K9,K12,K12+1),K12)</f>
        <v>0</v>
      </c>
      <c r="M12" s="494">
        <f t="shared" ref="M12" si="12">IF(M7&gt;0,IF(M9=L9,L12,L12+1),L12)</f>
        <v>0</v>
      </c>
      <c r="N12" s="494">
        <f t="shared" ref="N12" si="13">IF(N7&gt;0,IF(N9=M9,M12,M12+1),M12)</f>
        <v>0</v>
      </c>
      <c r="O12" s="494">
        <f t="shared" si="8"/>
        <v>0</v>
      </c>
      <c r="P12" s="494">
        <f t="shared" si="8"/>
        <v>0</v>
      </c>
      <c r="Q12" s="494">
        <f t="shared" si="8"/>
        <v>0</v>
      </c>
      <c r="R12" s="494">
        <f t="shared" si="8"/>
        <v>0</v>
      </c>
      <c r="S12" s="494">
        <f t="shared" si="8"/>
        <v>0</v>
      </c>
      <c r="T12" s="274"/>
      <c r="W12" s="274"/>
      <c r="X12" s="274"/>
      <c r="Y12" s="274"/>
      <c r="Z12" s="274"/>
      <c r="AA12" s="274"/>
      <c r="AB12" s="274"/>
      <c r="AC12" s="274"/>
      <c r="AD12" s="274"/>
      <c r="AE12" s="274"/>
    </row>
    <row r="13" spans="1:213" s="273" customFormat="1" ht="7.5" hidden="1" thickBot="1">
      <c r="A13" s="276" t="s">
        <v>130</v>
      </c>
      <c r="B13" s="495"/>
      <c r="C13" s="495"/>
      <c r="D13" s="495"/>
      <c r="E13" s="495"/>
      <c r="F13" s="495"/>
      <c r="G13" s="495"/>
      <c r="H13" s="495"/>
      <c r="I13" s="495"/>
      <c r="J13" s="495"/>
      <c r="K13" s="495"/>
      <c r="L13" s="495"/>
      <c r="M13" s="495"/>
      <c r="N13" s="495"/>
      <c r="O13" s="495"/>
      <c r="P13" s="495"/>
      <c r="Q13" s="495"/>
      <c r="R13" s="495"/>
      <c r="S13" s="495"/>
      <c r="T13" s="274"/>
      <c r="W13" s="274"/>
      <c r="X13" s="274"/>
      <c r="Y13" s="274"/>
      <c r="Z13" s="274"/>
      <c r="AA13" s="274"/>
      <c r="AB13" s="274"/>
      <c r="AC13" s="274"/>
      <c r="AD13" s="274"/>
      <c r="AE13" s="274"/>
    </row>
    <row r="14" spans="1:213" ht="11.5" thickTop="1" thickBot="1">
      <c r="A14" s="68" t="s">
        <v>16</v>
      </c>
      <c r="B14" s="488"/>
      <c r="C14" s="488"/>
      <c r="D14" s="488"/>
      <c r="E14" s="488"/>
      <c r="F14" s="488"/>
      <c r="G14" s="488"/>
      <c r="H14" s="488"/>
      <c r="I14" s="488"/>
      <c r="J14" s="488"/>
      <c r="K14" s="488"/>
      <c r="L14" s="488"/>
      <c r="M14" s="488"/>
      <c r="N14" s="488"/>
      <c r="O14" s="488"/>
      <c r="P14" s="488"/>
      <c r="Q14" s="488"/>
      <c r="R14" s="488"/>
      <c r="S14" s="488"/>
      <c r="T14" s="70"/>
      <c r="U14" s="70"/>
      <c r="V14" s="70"/>
    </row>
    <row r="15" spans="1:213" s="53" customFormat="1" ht="7.5" thickTop="1">
      <c r="A15" s="52" t="s">
        <v>25</v>
      </c>
      <c r="B15" s="489"/>
      <c r="C15" s="489"/>
      <c r="D15" s="489"/>
      <c r="E15" s="489"/>
      <c r="F15" s="489"/>
      <c r="G15" s="489"/>
      <c r="H15" s="489"/>
      <c r="I15" s="489"/>
      <c r="J15" s="489"/>
      <c r="K15" s="489"/>
      <c r="L15" s="489"/>
      <c r="M15" s="489"/>
      <c r="N15" s="489"/>
      <c r="O15" s="489"/>
      <c r="P15" s="489"/>
      <c r="Q15" s="489"/>
      <c r="R15" s="489"/>
      <c r="S15" s="48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</row>
    <row r="16" spans="1:213" s="69" customFormat="1">
      <c r="A16" s="55" t="s">
        <v>26</v>
      </c>
      <c r="B16" s="496"/>
      <c r="C16" s="496"/>
      <c r="D16" s="496"/>
      <c r="E16" s="496"/>
      <c r="F16" s="496"/>
      <c r="G16" s="496"/>
      <c r="H16" s="496"/>
      <c r="I16" s="496"/>
      <c r="J16" s="496"/>
      <c r="K16" s="496"/>
      <c r="L16" s="496"/>
      <c r="M16" s="496"/>
      <c r="N16" s="496"/>
      <c r="O16" s="496"/>
      <c r="P16" s="496"/>
      <c r="Q16" s="496"/>
      <c r="R16" s="496"/>
      <c r="S16" s="496"/>
    </row>
    <row r="17" spans="1:31" s="114" customFormat="1" ht="7.5" thickBot="1">
      <c r="A17" s="112" t="s">
        <v>29</v>
      </c>
      <c r="B17" s="497"/>
      <c r="C17" s="352"/>
      <c r="D17" s="352"/>
      <c r="E17" s="352"/>
      <c r="F17" s="352"/>
      <c r="G17" s="352"/>
      <c r="H17" s="352"/>
      <c r="I17" s="352"/>
      <c r="J17" s="352"/>
      <c r="K17" s="352"/>
      <c r="L17" s="352"/>
      <c r="M17" s="352"/>
      <c r="N17" s="352"/>
      <c r="O17" s="352"/>
      <c r="P17" s="352"/>
      <c r="Q17" s="352"/>
      <c r="R17" s="352"/>
      <c r="S17" s="352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</row>
    <row r="18" spans="1:31" s="69" customFormat="1" ht="11.5" thickTop="1" thickBot="1">
      <c r="A18" s="115" t="s">
        <v>73</v>
      </c>
      <c r="B18" s="498">
        <f>SUM(B15:B17)</f>
        <v>0</v>
      </c>
      <c r="C18" s="498">
        <f>SUM(C15:C17)</f>
        <v>0</v>
      </c>
      <c r="D18" s="498">
        <f>SUM(D15:D17)</f>
        <v>0</v>
      </c>
      <c r="E18" s="498">
        <f>SUM(E15:E17)</f>
        <v>0</v>
      </c>
      <c r="F18" s="498">
        <f t="shared" ref="F18:S18" si="14">SUM(F15:F17)</f>
        <v>0</v>
      </c>
      <c r="G18" s="498">
        <f t="shared" si="14"/>
        <v>0</v>
      </c>
      <c r="H18" s="498">
        <f t="shared" si="14"/>
        <v>0</v>
      </c>
      <c r="I18" s="498">
        <f t="shared" si="14"/>
        <v>0</v>
      </c>
      <c r="J18" s="498">
        <f t="shared" ref="J18:N18" si="15">SUM(J15:J17)</f>
        <v>0</v>
      </c>
      <c r="K18" s="498">
        <f t="shared" si="15"/>
        <v>0</v>
      </c>
      <c r="L18" s="498">
        <f t="shared" si="15"/>
        <v>0</v>
      </c>
      <c r="M18" s="498">
        <f t="shared" si="15"/>
        <v>0</v>
      </c>
      <c r="N18" s="498">
        <f t="shared" si="15"/>
        <v>0</v>
      </c>
      <c r="O18" s="498">
        <f t="shared" si="14"/>
        <v>0</v>
      </c>
      <c r="P18" s="498">
        <f t="shared" si="14"/>
        <v>0</v>
      </c>
      <c r="Q18" s="498">
        <f t="shared" si="14"/>
        <v>0</v>
      </c>
      <c r="R18" s="498">
        <f t="shared" si="14"/>
        <v>0</v>
      </c>
      <c r="S18" s="498">
        <f t="shared" si="14"/>
        <v>0</v>
      </c>
    </row>
    <row r="19" spans="1:31" s="48" customFormat="1" ht="11.5" thickTop="1" thickBot="1">
      <c r="A19" s="11" t="s">
        <v>75</v>
      </c>
      <c r="B19" s="839" t="str">
        <f ca="1">IF(DATE(Summary!$B$1,9,30)&gt;NOW(),"","Acct Due")</f>
        <v>Acct Due</v>
      </c>
      <c r="C19" s="839" t="str">
        <f ca="1">IF(DATE(Summary!$B$1,9,30)&gt;NOW(),"","Acct Due")</f>
        <v>Acct Due</v>
      </c>
      <c r="D19" s="839" t="str">
        <f ca="1">IF(DATE(Summary!$B$1,9,30)&gt;NOW(),"","Acct Due")</f>
        <v>Acct Due</v>
      </c>
      <c r="E19" s="304" t="str">
        <f t="shared" ref="E19:S19" ca="1" si="16">IF(OR(LEFT(E5,2)="un",E18&lt;&gt;0,E32&lt;&gt;0, E5="",E6&gt;NOW()),"","Acct Due")</f>
        <v/>
      </c>
      <c r="F19" s="304" t="str">
        <f t="shared" ca="1" si="16"/>
        <v/>
      </c>
      <c r="G19" s="304" t="str">
        <f t="shared" ca="1" si="16"/>
        <v/>
      </c>
      <c r="H19" s="304" t="str">
        <f t="shared" ca="1" si="16"/>
        <v/>
      </c>
      <c r="I19" s="304" t="str">
        <f t="shared" ca="1" si="16"/>
        <v/>
      </c>
      <c r="J19" s="304" t="str">
        <f t="shared" ref="J19:N19" ca="1" si="17">IF(OR(LEFT(J5,2)="un",J18&lt;&gt;0,J32&lt;&gt;0, J5="",J6&gt;NOW()),"","Acct Due")</f>
        <v/>
      </c>
      <c r="K19" s="304" t="str">
        <f t="shared" ca="1" si="17"/>
        <v/>
      </c>
      <c r="L19" s="304" t="str">
        <f t="shared" ca="1" si="17"/>
        <v/>
      </c>
      <c r="M19" s="304" t="str">
        <f t="shared" ca="1" si="17"/>
        <v/>
      </c>
      <c r="N19" s="304" t="str">
        <f t="shared" ca="1" si="17"/>
        <v/>
      </c>
      <c r="O19" s="304" t="str">
        <f t="shared" ca="1" si="16"/>
        <v/>
      </c>
      <c r="P19" s="304" t="str">
        <f t="shared" ca="1" si="16"/>
        <v/>
      </c>
      <c r="Q19" s="304" t="str">
        <f t="shared" ca="1" si="16"/>
        <v/>
      </c>
      <c r="R19" s="304" t="str">
        <f t="shared" ca="1" si="16"/>
        <v/>
      </c>
      <c r="S19" s="304" t="str">
        <f t="shared" ca="1" si="16"/>
        <v/>
      </c>
      <c r="T19" s="69"/>
      <c r="W19" s="69"/>
      <c r="X19" s="69"/>
      <c r="Y19" s="69"/>
      <c r="Z19" s="69"/>
      <c r="AA19" s="69"/>
      <c r="AB19" s="69"/>
      <c r="AC19" s="69"/>
      <c r="AD19" s="69"/>
      <c r="AE19" s="69"/>
    </row>
    <row r="20" spans="1:31" s="53" customFormat="1" ht="7.5" thickTop="1">
      <c r="A20" s="52" t="s">
        <v>39</v>
      </c>
      <c r="B20" s="350"/>
      <c r="C20" s="349"/>
      <c r="D20" s="349"/>
      <c r="E20" s="349"/>
      <c r="F20" s="349"/>
      <c r="G20" s="349"/>
      <c r="H20" s="349"/>
      <c r="I20" s="349"/>
      <c r="J20" s="349"/>
      <c r="K20" s="349"/>
      <c r="L20" s="349"/>
      <c r="M20" s="349"/>
      <c r="N20" s="349"/>
      <c r="O20" s="349"/>
      <c r="P20" s="349"/>
      <c r="Q20" s="349"/>
      <c r="R20" s="349"/>
      <c r="S20" s="34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</row>
    <row r="21" spans="1:31" s="69" customFormat="1">
      <c r="A21" s="55" t="s">
        <v>40</v>
      </c>
      <c r="B21" s="353"/>
      <c r="C21" s="352"/>
      <c r="D21" s="352"/>
      <c r="E21" s="352"/>
      <c r="F21" s="352"/>
      <c r="G21" s="352"/>
      <c r="H21" s="352"/>
      <c r="I21" s="352"/>
      <c r="J21" s="352"/>
      <c r="K21" s="352"/>
      <c r="L21" s="352"/>
      <c r="M21" s="352">
        <v>52.04</v>
      </c>
      <c r="N21" s="352"/>
      <c r="O21" s="352"/>
      <c r="P21" s="352"/>
      <c r="Q21" s="352"/>
      <c r="R21" s="352"/>
      <c r="S21" s="352"/>
    </row>
    <row r="22" spans="1:31" s="69" customFormat="1">
      <c r="A22" s="55" t="s">
        <v>41</v>
      </c>
      <c r="B22" s="353"/>
      <c r="C22" s="352"/>
      <c r="D22" s="352"/>
      <c r="E22" s="352"/>
      <c r="F22" s="352">
        <v>27.5</v>
      </c>
      <c r="G22" s="352"/>
      <c r="H22" s="352"/>
      <c r="I22" s="352"/>
      <c r="J22" s="352"/>
      <c r="K22" s="352"/>
      <c r="L22" s="352"/>
      <c r="M22" s="352"/>
      <c r="N22" s="352"/>
      <c r="O22" s="352"/>
      <c r="P22" s="352"/>
      <c r="Q22" s="352"/>
      <c r="R22" s="352"/>
      <c r="S22" s="352"/>
    </row>
    <row r="23" spans="1:31" s="102" customFormat="1">
      <c r="A23" s="57" t="s">
        <v>43</v>
      </c>
      <c r="B23" s="500">
        <f>+'OTHER COSTS'!B82</f>
        <v>0</v>
      </c>
      <c r="C23" s="500">
        <f>+'OTHER COSTS'!C82</f>
        <v>0</v>
      </c>
      <c r="D23" s="500">
        <f>+'OTHER COSTS'!D82</f>
        <v>0</v>
      </c>
      <c r="E23" s="500">
        <f>+'OTHER COSTS'!E82</f>
        <v>0</v>
      </c>
      <c r="F23" s="500">
        <f>+'OTHER COSTS'!F82</f>
        <v>0</v>
      </c>
      <c r="G23" s="500">
        <f>+'OTHER COSTS'!G82</f>
        <v>0</v>
      </c>
      <c r="H23" s="500">
        <f>+'OTHER COSTS'!H82</f>
        <v>0</v>
      </c>
      <c r="I23" s="500">
        <f>+'OTHER COSTS'!I82</f>
        <v>0</v>
      </c>
      <c r="J23" s="500">
        <f>+'OTHER COSTS'!J82</f>
        <v>0</v>
      </c>
      <c r="K23" s="500">
        <f>+'OTHER COSTS'!K82</f>
        <v>0</v>
      </c>
      <c r="L23" s="500">
        <f>+'OTHER COSTS'!L82</f>
        <v>0</v>
      </c>
      <c r="M23" s="500">
        <f>+'OTHER COSTS'!M82</f>
        <v>0</v>
      </c>
      <c r="N23" s="500">
        <f>+'OTHER COSTS'!N82</f>
        <v>0</v>
      </c>
      <c r="O23" s="500">
        <f>+'OTHER COSTS'!O82</f>
        <v>0</v>
      </c>
      <c r="P23" s="500">
        <f>+'OTHER COSTS'!P82</f>
        <v>0</v>
      </c>
      <c r="Q23" s="500">
        <f>+'OTHER COSTS'!Q82</f>
        <v>0</v>
      </c>
      <c r="R23" s="500">
        <f>+'OTHER COSTS'!R82</f>
        <v>0</v>
      </c>
      <c r="S23" s="500">
        <f>+'OTHER COSTS'!S82</f>
        <v>0</v>
      </c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</row>
    <row r="24" spans="1:31" s="50" customFormat="1">
      <c r="A24" s="92" t="s">
        <v>44</v>
      </c>
      <c r="B24" s="501">
        <f>SUM(B20:B23)</f>
        <v>0</v>
      </c>
      <c r="C24" s="501">
        <f>SUM(C20:C23)</f>
        <v>0</v>
      </c>
      <c r="D24" s="501">
        <f>SUM(D20:D23)</f>
        <v>0</v>
      </c>
      <c r="E24" s="501">
        <f>SUM(E20:E23)</f>
        <v>0</v>
      </c>
      <c r="F24" s="501">
        <f t="shared" ref="F24:S24" si="18">SUM(F20:F23)</f>
        <v>27.5</v>
      </c>
      <c r="G24" s="501"/>
      <c r="H24" s="501">
        <f t="shared" si="18"/>
        <v>0</v>
      </c>
      <c r="I24" s="501">
        <f t="shared" si="18"/>
        <v>0</v>
      </c>
      <c r="J24" s="501">
        <f t="shared" ref="J24:N24" si="19">SUM(J20:J23)</f>
        <v>0</v>
      </c>
      <c r="K24" s="501">
        <f t="shared" si="19"/>
        <v>0</v>
      </c>
      <c r="L24" s="501">
        <f t="shared" si="19"/>
        <v>0</v>
      </c>
      <c r="M24" s="501">
        <f t="shared" si="19"/>
        <v>52.04</v>
      </c>
      <c r="N24" s="501">
        <f t="shared" si="19"/>
        <v>0</v>
      </c>
      <c r="O24" s="501">
        <f t="shared" si="18"/>
        <v>0</v>
      </c>
      <c r="P24" s="501">
        <f t="shared" si="18"/>
        <v>0</v>
      </c>
      <c r="Q24" s="501">
        <f t="shared" si="18"/>
        <v>0</v>
      </c>
      <c r="R24" s="501">
        <f t="shared" si="18"/>
        <v>0</v>
      </c>
      <c r="S24" s="501">
        <f t="shared" si="18"/>
        <v>0</v>
      </c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</row>
    <row r="25" spans="1:31" s="95" customFormat="1" ht="7.5" thickBot="1">
      <c r="A25" s="93" t="s">
        <v>90</v>
      </c>
      <c r="B25" s="502"/>
      <c r="C25" s="502"/>
      <c r="D25" s="502"/>
      <c r="E25" s="502"/>
      <c r="F25" s="502"/>
      <c r="G25" s="502"/>
      <c r="H25" s="502"/>
      <c r="I25" s="502"/>
      <c r="J25" s="502"/>
      <c r="K25" s="502"/>
      <c r="L25" s="502"/>
      <c r="M25" s="502"/>
      <c r="N25" s="502"/>
      <c r="O25" s="502"/>
      <c r="P25" s="502"/>
      <c r="Q25" s="502"/>
      <c r="R25" s="502"/>
      <c r="S25" s="502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</row>
    <row r="26" spans="1:31" s="48" customFormat="1" ht="11.5" thickTop="1" thickBot="1">
      <c r="A26" s="94" t="s">
        <v>76</v>
      </c>
      <c r="B26" s="503"/>
      <c r="C26" s="503"/>
      <c r="D26" s="503"/>
      <c r="E26" s="503"/>
      <c r="F26" s="503"/>
      <c r="G26" s="503"/>
      <c r="H26" s="503"/>
      <c r="I26" s="503"/>
      <c r="J26" s="503"/>
      <c r="K26" s="503"/>
      <c r="L26" s="503"/>
      <c r="M26" s="503"/>
      <c r="N26" s="503"/>
      <c r="O26" s="503"/>
      <c r="P26" s="503"/>
      <c r="Q26" s="503"/>
      <c r="R26" s="503"/>
      <c r="S26" s="503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</row>
    <row r="27" spans="1:31" s="53" customFormat="1" ht="7.5" thickTop="1">
      <c r="A27" s="52" t="s">
        <v>49</v>
      </c>
      <c r="B27" s="504">
        <f>MAINTENANCE!C62</f>
        <v>0</v>
      </c>
      <c r="C27" s="504">
        <f>MAINTENANCE!D62</f>
        <v>0</v>
      </c>
      <c r="D27" s="504">
        <f>MAINTENANCE!E62</f>
        <v>0</v>
      </c>
      <c r="E27" s="504">
        <f>MAINTENANCE!F62</f>
        <v>0</v>
      </c>
      <c r="F27" s="504">
        <f>MAINTENANCE!G62</f>
        <v>40.479999999999997</v>
      </c>
      <c r="G27" s="504">
        <f>MAINTENANCE!H62</f>
        <v>79.02000000000001</v>
      </c>
      <c r="H27" s="504">
        <f>MAINTENANCE!I62</f>
        <v>40.119999999999997</v>
      </c>
      <c r="I27" s="504">
        <f>MAINTENANCE!J62</f>
        <v>100.75</v>
      </c>
      <c r="J27" s="504">
        <f>MAINTENANCE!K62</f>
        <v>0</v>
      </c>
      <c r="K27" s="504">
        <f>MAINTENANCE!L62</f>
        <v>25.22</v>
      </c>
      <c r="L27" s="504">
        <f>MAINTENANCE!M62</f>
        <v>0</v>
      </c>
      <c r="M27" s="504">
        <f>MAINTENANCE!N62</f>
        <v>0</v>
      </c>
      <c r="N27" s="504">
        <f>MAINTENANCE!O62</f>
        <v>0</v>
      </c>
      <c r="O27" s="504">
        <f>MAINTENANCE!P62</f>
        <v>0</v>
      </c>
      <c r="P27" s="504">
        <f>MAINTENANCE!Q62</f>
        <v>0</v>
      </c>
      <c r="Q27" s="504">
        <f>MAINTENANCE!R62</f>
        <v>0</v>
      </c>
      <c r="R27" s="504">
        <f>MAINTENANCE!S62</f>
        <v>0</v>
      </c>
      <c r="S27" s="504">
        <f>MAINTENANCE!T62</f>
        <v>0</v>
      </c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</row>
    <row r="28" spans="1:31" s="69" customFormat="1">
      <c r="A28" s="55" t="s">
        <v>133</v>
      </c>
      <c r="B28" s="505">
        <f>'OTHER COSTS'!B41+'OTHER COSTS'!B48</f>
        <v>0</v>
      </c>
      <c r="C28" s="505">
        <f>'OTHER COSTS'!C41+'OTHER COSTS'!C48</f>
        <v>0</v>
      </c>
      <c r="D28" s="505">
        <f>'OTHER COSTS'!D41+'OTHER COSTS'!D48</f>
        <v>0</v>
      </c>
      <c r="E28" s="505">
        <f>'OTHER COSTS'!E41+'OTHER COSTS'!E48</f>
        <v>100</v>
      </c>
      <c r="F28" s="505">
        <f>'OTHER COSTS'!F41+'OTHER COSTS'!F48</f>
        <v>0</v>
      </c>
      <c r="G28" s="505">
        <f>'OTHER COSTS'!G41+'OTHER COSTS'!G48</f>
        <v>0</v>
      </c>
      <c r="H28" s="505">
        <f>'OTHER COSTS'!H41+'OTHER COSTS'!H48</f>
        <v>100</v>
      </c>
      <c r="I28" s="505">
        <f>'OTHER COSTS'!I41+'OTHER COSTS'!I48</f>
        <v>0</v>
      </c>
      <c r="J28" s="505">
        <f>'OTHER COSTS'!J41+'OTHER COSTS'!J48</f>
        <v>10</v>
      </c>
      <c r="K28" s="505">
        <f>'OTHER COSTS'!K41+'OTHER COSTS'!K48</f>
        <v>11.2</v>
      </c>
      <c r="L28" s="505">
        <f>'OTHER COSTS'!L41+'OTHER COSTS'!L48</f>
        <v>0</v>
      </c>
      <c r="M28" s="505">
        <f>'OTHER COSTS'!M41+'OTHER COSTS'!M48</f>
        <v>0</v>
      </c>
      <c r="N28" s="505">
        <f>'OTHER COSTS'!N41+'OTHER COSTS'!N48</f>
        <v>0</v>
      </c>
      <c r="O28" s="505">
        <f>'OTHER COSTS'!O41+'OTHER COSTS'!O48</f>
        <v>0</v>
      </c>
      <c r="P28" s="505">
        <f>'OTHER COSTS'!P41+'OTHER COSTS'!P48</f>
        <v>0</v>
      </c>
      <c r="Q28" s="505">
        <f>'OTHER COSTS'!Q41+'OTHER COSTS'!Q48</f>
        <v>0</v>
      </c>
      <c r="R28" s="505">
        <f>'OTHER COSTS'!R41+'OTHER COSTS'!R48</f>
        <v>0</v>
      </c>
      <c r="S28" s="505">
        <f>'OTHER COSTS'!S41+'OTHER COSTS'!S48</f>
        <v>0</v>
      </c>
    </row>
    <row r="29" spans="1:31" s="69" customFormat="1">
      <c r="A29" s="55" t="s">
        <v>81</v>
      </c>
      <c r="B29" s="505">
        <f>'OTHER COSTS'!B59</f>
        <v>0</v>
      </c>
      <c r="C29" s="505">
        <f>'OTHER COSTS'!C59</f>
        <v>0</v>
      </c>
      <c r="D29" s="505">
        <f>'OTHER COSTS'!D59</f>
        <v>0</v>
      </c>
      <c r="E29" s="505">
        <f>'OTHER COSTS'!E59</f>
        <v>0</v>
      </c>
      <c r="F29" s="505">
        <f>'OTHER COSTS'!F59</f>
        <v>0</v>
      </c>
      <c r="G29" s="505">
        <f>'OTHER COSTS'!G59</f>
        <v>0</v>
      </c>
      <c r="H29" s="505">
        <f>'OTHER COSTS'!H59</f>
        <v>0</v>
      </c>
      <c r="I29" s="505">
        <f>'OTHER COSTS'!I59</f>
        <v>0</v>
      </c>
      <c r="J29" s="505">
        <f>'OTHER COSTS'!J59</f>
        <v>0</v>
      </c>
      <c r="K29" s="505">
        <f>'OTHER COSTS'!K59</f>
        <v>0</v>
      </c>
      <c r="L29" s="505">
        <f>'OTHER COSTS'!L59</f>
        <v>0</v>
      </c>
      <c r="M29" s="505">
        <f>'OTHER COSTS'!M59</f>
        <v>0</v>
      </c>
      <c r="N29" s="505">
        <f>'OTHER COSTS'!N59</f>
        <v>0</v>
      </c>
      <c r="O29" s="505">
        <f>'OTHER COSTS'!O59</f>
        <v>0</v>
      </c>
      <c r="P29" s="505">
        <f>'OTHER COSTS'!P59</f>
        <v>0</v>
      </c>
      <c r="Q29" s="505">
        <f>'OTHER COSTS'!Q59</f>
        <v>0</v>
      </c>
      <c r="R29" s="505">
        <f>'OTHER COSTS'!R59</f>
        <v>0</v>
      </c>
      <c r="S29" s="505">
        <f>'OTHER COSTS'!S59</f>
        <v>0</v>
      </c>
    </row>
    <row r="30" spans="1:31" s="102" customFormat="1" ht="9" customHeight="1">
      <c r="A30" s="508" t="s">
        <v>185</v>
      </c>
      <c r="B30" s="362">
        <v>266.58999999999997</v>
      </c>
      <c r="C30" s="362">
        <v>1076.8800000000001</v>
      </c>
      <c r="D30" s="362">
        <v>573.54999999999995</v>
      </c>
      <c r="E30" s="362"/>
      <c r="F30" s="362"/>
      <c r="G30" s="362"/>
      <c r="H30" s="362"/>
      <c r="I30" s="362"/>
      <c r="J30" s="362"/>
      <c r="K30" s="362"/>
      <c r="L30" s="362">
        <v>210</v>
      </c>
      <c r="M30" s="362"/>
      <c r="N30" s="362"/>
      <c r="O30" s="362"/>
      <c r="P30" s="362"/>
      <c r="Q30" s="362"/>
      <c r="R30" s="362"/>
      <c r="S30" s="360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</row>
    <row r="31" spans="1:31" s="50" customFormat="1" ht="7.5" thickBot="1">
      <c r="A31" s="92" t="s">
        <v>77</v>
      </c>
      <c r="B31" s="51">
        <f>SUM(B27:B30)</f>
        <v>266.58999999999997</v>
      </c>
      <c r="C31" s="51">
        <f>SUM(C27:C30)</f>
        <v>1076.8800000000001</v>
      </c>
      <c r="D31" s="51">
        <f>SUM(D27:D30)</f>
        <v>573.54999999999995</v>
      </c>
      <c r="E31" s="51">
        <f>SUM(E27:E30)</f>
        <v>100</v>
      </c>
      <c r="F31" s="51">
        <f t="shared" ref="F31:S31" si="20">SUM(F27:F30)</f>
        <v>40.479999999999997</v>
      </c>
      <c r="G31" s="51">
        <f t="shared" si="20"/>
        <v>79.02000000000001</v>
      </c>
      <c r="H31" s="51">
        <f t="shared" si="20"/>
        <v>140.12</v>
      </c>
      <c r="I31" s="51">
        <f t="shared" si="20"/>
        <v>100.75</v>
      </c>
      <c r="J31" s="51">
        <f t="shared" ref="J31:N31" si="21">SUM(J27:J30)</f>
        <v>10</v>
      </c>
      <c r="K31" s="51">
        <f t="shared" si="21"/>
        <v>36.42</v>
      </c>
      <c r="L31" s="51">
        <f t="shared" si="21"/>
        <v>210</v>
      </c>
      <c r="M31" s="51">
        <f t="shared" si="21"/>
        <v>0</v>
      </c>
      <c r="N31" s="51">
        <f t="shared" si="21"/>
        <v>0</v>
      </c>
      <c r="O31" s="51">
        <f t="shared" si="20"/>
        <v>0</v>
      </c>
      <c r="P31" s="51">
        <f t="shared" si="20"/>
        <v>0</v>
      </c>
      <c r="Q31" s="51">
        <f t="shared" si="20"/>
        <v>0</v>
      </c>
      <c r="R31" s="51">
        <f t="shared" si="20"/>
        <v>0</v>
      </c>
      <c r="S31" s="47">
        <f t="shared" si="20"/>
        <v>0</v>
      </c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</row>
    <row r="32" spans="1:31" s="81" customFormat="1" ht="11.5" thickTop="1" thickBot="1">
      <c r="A32" s="302" t="s">
        <v>55</v>
      </c>
      <c r="B32" s="54">
        <f>SUM(B25:B30)+B24</f>
        <v>266.58999999999997</v>
      </c>
      <c r="C32" s="54">
        <f>SUM(C25:C30)+C24</f>
        <v>1076.8800000000001</v>
      </c>
      <c r="D32" s="54">
        <f>SUM(D25:D30)+D24</f>
        <v>573.54999999999995</v>
      </c>
      <c r="E32" s="54">
        <f>SUM(E25:E30)+E24</f>
        <v>100</v>
      </c>
      <c r="F32" s="54">
        <f t="shared" ref="F32:S32" si="22">SUM(F25:F30)+F24</f>
        <v>67.97999999999999</v>
      </c>
      <c r="G32" s="54">
        <f t="shared" si="22"/>
        <v>79.02000000000001</v>
      </c>
      <c r="H32" s="54">
        <f t="shared" si="22"/>
        <v>140.12</v>
      </c>
      <c r="I32" s="54">
        <f t="shared" si="22"/>
        <v>100.75</v>
      </c>
      <c r="J32" s="54">
        <f t="shared" ref="J32:N32" si="23">SUM(J25:J30)+J24</f>
        <v>10</v>
      </c>
      <c r="K32" s="54">
        <f t="shared" si="23"/>
        <v>36.42</v>
      </c>
      <c r="L32" s="54">
        <f t="shared" si="23"/>
        <v>210</v>
      </c>
      <c r="M32" s="54">
        <f t="shared" si="23"/>
        <v>52.04</v>
      </c>
      <c r="N32" s="54">
        <f t="shared" si="23"/>
        <v>0</v>
      </c>
      <c r="O32" s="54">
        <f t="shared" si="22"/>
        <v>0</v>
      </c>
      <c r="P32" s="54">
        <f t="shared" si="22"/>
        <v>0</v>
      </c>
      <c r="Q32" s="54">
        <f t="shared" si="22"/>
        <v>0</v>
      </c>
      <c r="R32" s="54">
        <f t="shared" si="22"/>
        <v>0</v>
      </c>
      <c r="S32" s="85">
        <f t="shared" si="22"/>
        <v>0</v>
      </c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</row>
    <row r="33" spans="1:199" s="48" customFormat="1" ht="8" thickTop="1" thickBot="1">
      <c r="A33" s="306" t="s">
        <v>139</v>
      </c>
      <c r="B33" s="310">
        <f>B18-B32</f>
        <v>-266.58999999999997</v>
      </c>
      <c r="C33" s="310">
        <f>C18-C32</f>
        <v>-1076.8800000000001</v>
      </c>
      <c r="D33" s="310">
        <f>D18-D32</f>
        <v>-573.54999999999995</v>
      </c>
      <c r="E33" s="310">
        <f>E18-E32</f>
        <v>-100</v>
      </c>
      <c r="F33" s="310">
        <f t="shared" ref="F33:S33" si="24">F18-F32</f>
        <v>-67.97999999999999</v>
      </c>
      <c r="G33" s="310">
        <f t="shared" si="24"/>
        <v>-79.02000000000001</v>
      </c>
      <c r="H33" s="310">
        <f t="shared" si="24"/>
        <v>-140.12</v>
      </c>
      <c r="I33" s="310">
        <f t="shared" si="24"/>
        <v>-100.75</v>
      </c>
      <c r="J33" s="310">
        <f t="shared" ref="J33:N33" si="25">J18-J32</f>
        <v>-10</v>
      </c>
      <c r="K33" s="310">
        <f t="shared" si="25"/>
        <v>-36.42</v>
      </c>
      <c r="L33" s="310">
        <f t="shared" si="25"/>
        <v>-210</v>
      </c>
      <c r="M33" s="310">
        <f t="shared" si="25"/>
        <v>-52.04</v>
      </c>
      <c r="N33" s="310">
        <f t="shared" si="25"/>
        <v>0</v>
      </c>
      <c r="O33" s="310">
        <f t="shared" si="24"/>
        <v>0</v>
      </c>
      <c r="P33" s="310">
        <f t="shared" si="24"/>
        <v>0</v>
      </c>
      <c r="Q33" s="310">
        <f t="shared" si="24"/>
        <v>0</v>
      </c>
      <c r="R33" s="310">
        <f t="shared" si="24"/>
        <v>0</v>
      </c>
      <c r="S33" s="307">
        <f t="shared" si="24"/>
        <v>0</v>
      </c>
      <c r="T33" s="69"/>
      <c r="U33" s="69"/>
      <c r="W33" s="69"/>
      <c r="X33" s="69"/>
      <c r="Y33" s="69"/>
      <c r="Z33" s="69"/>
      <c r="AA33" s="69"/>
      <c r="AB33" s="69"/>
      <c r="AC33" s="69"/>
      <c r="AD33" s="69"/>
      <c r="AE33" s="69"/>
    </row>
    <row r="34" spans="1:199" s="227" customFormat="1" ht="8" thickTop="1" thickBot="1">
      <c r="A34" s="96" t="s">
        <v>138</v>
      </c>
      <c r="B34" s="363" t="s">
        <v>252</v>
      </c>
      <c r="C34" s="363"/>
      <c r="D34" s="363" t="str">
        <f t="shared" ref="D34:S34" si="26">IF(D33=0,"","post bal.")</f>
        <v>post bal.</v>
      </c>
      <c r="E34" s="363" t="s">
        <v>253</v>
      </c>
      <c r="F34" s="363" t="s">
        <v>253</v>
      </c>
      <c r="G34" s="363" t="s">
        <v>252</v>
      </c>
      <c r="H34" s="363" t="s">
        <v>252</v>
      </c>
      <c r="I34" s="363" t="s">
        <v>252</v>
      </c>
      <c r="J34" s="363" t="s">
        <v>252</v>
      </c>
      <c r="K34" s="363" t="s">
        <v>252</v>
      </c>
      <c r="L34" s="363" t="s">
        <v>252</v>
      </c>
      <c r="M34" s="363" t="s">
        <v>252</v>
      </c>
      <c r="N34" s="363" t="str">
        <f t="shared" ref="N34" si="27">IF(N33=0,"","post bal.")</f>
        <v/>
      </c>
      <c r="O34" s="363" t="str">
        <f t="shared" si="26"/>
        <v/>
      </c>
      <c r="P34" s="363" t="str">
        <f t="shared" si="26"/>
        <v/>
      </c>
      <c r="Q34" s="363" t="str">
        <f t="shared" si="26"/>
        <v/>
      </c>
      <c r="R34" s="363" t="str">
        <f t="shared" si="26"/>
        <v/>
      </c>
      <c r="S34" s="363" t="str">
        <f t="shared" si="26"/>
        <v/>
      </c>
      <c r="T34" s="209"/>
      <c r="U34" s="209"/>
      <c r="W34" s="226"/>
      <c r="X34" s="226"/>
      <c r="Y34" s="226"/>
      <c r="Z34" s="226"/>
      <c r="AA34" s="226"/>
      <c r="AB34" s="226"/>
      <c r="AC34" s="226"/>
      <c r="AD34" s="226"/>
      <c r="AE34" s="226"/>
    </row>
    <row r="35" spans="1:199" s="271" customFormat="1" ht="7.5" hidden="1" thickTop="1">
      <c r="A35" s="267" t="s">
        <v>124</v>
      </c>
      <c r="B35" s="270">
        <f t="shared" ref="B35:K35" si="28">IF(B34="post bal.",B33,0)</f>
        <v>0</v>
      </c>
      <c r="C35" s="270">
        <f t="shared" si="28"/>
        <v>0</v>
      </c>
      <c r="D35" s="270">
        <f t="shared" si="28"/>
        <v>-573.54999999999995</v>
      </c>
      <c r="E35" s="270">
        <f t="shared" si="28"/>
        <v>0</v>
      </c>
      <c r="F35" s="270">
        <f t="shared" si="28"/>
        <v>0</v>
      </c>
      <c r="G35" s="270">
        <f t="shared" si="28"/>
        <v>0</v>
      </c>
      <c r="H35" s="270">
        <f t="shared" si="28"/>
        <v>0</v>
      </c>
      <c r="I35" s="270">
        <f t="shared" si="28"/>
        <v>0</v>
      </c>
      <c r="J35" s="270">
        <f t="shared" si="28"/>
        <v>0</v>
      </c>
      <c r="K35" s="270">
        <f t="shared" si="28"/>
        <v>0</v>
      </c>
      <c r="L35" s="270">
        <f t="shared" ref="L35:S35" si="29">IF(L34="post bal.",L33,0)</f>
        <v>0</v>
      </c>
      <c r="M35" s="270">
        <f t="shared" si="29"/>
        <v>0</v>
      </c>
      <c r="N35" s="270">
        <f t="shared" si="29"/>
        <v>0</v>
      </c>
      <c r="O35" s="270">
        <f t="shared" si="29"/>
        <v>0</v>
      </c>
      <c r="P35" s="270">
        <f t="shared" si="29"/>
        <v>0</v>
      </c>
      <c r="Q35" s="270">
        <f t="shared" si="29"/>
        <v>0</v>
      </c>
      <c r="R35" s="270">
        <f t="shared" si="29"/>
        <v>0</v>
      </c>
      <c r="S35" s="270">
        <f t="shared" si="29"/>
        <v>0</v>
      </c>
      <c r="T35" s="270">
        <f>IF(T34="post bal.",T32,0)</f>
        <v>0</v>
      </c>
      <c r="W35" s="270"/>
      <c r="X35" s="270"/>
      <c r="Y35" s="270"/>
      <c r="Z35" s="270"/>
      <c r="AA35" s="270"/>
      <c r="AB35" s="270"/>
      <c r="AC35" s="270"/>
      <c r="AD35" s="270"/>
      <c r="AE35" s="270"/>
    </row>
    <row r="36" spans="1:199" s="268" customFormat="1" hidden="1">
      <c r="A36" s="272" t="s">
        <v>125</v>
      </c>
      <c r="B36" s="268">
        <f t="shared" ref="B36:K36" si="30">IF(B5="Insurance",B30,0)</f>
        <v>266.58999999999997</v>
      </c>
      <c r="C36" s="268">
        <f t="shared" si="30"/>
        <v>0</v>
      </c>
      <c r="D36" s="268">
        <f t="shared" si="30"/>
        <v>0</v>
      </c>
      <c r="E36" s="268">
        <f t="shared" si="30"/>
        <v>0</v>
      </c>
      <c r="F36" s="268">
        <f t="shared" si="30"/>
        <v>0</v>
      </c>
      <c r="G36" s="268">
        <f t="shared" si="30"/>
        <v>0</v>
      </c>
      <c r="H36" s="268">
        <f t="shared" si="30"/>
        <v>0</v>
      </c>
      <c r="I36" s="268">
        <f t="shared" si="30"/>
        <v>0</v>
      </c>
      <c r="J36" s="268">
        <f t="shared" si="30"/>
        <v>0</v>
      </c>
      <c r="K36" s="268">
        <f t="shared" si="30"/>
        <v>0</v>
      </c>
      <c r="L36" s="268">
        <f t="shared" ref="L36:S36" si="31">IF(L5="Insurance",L30,0)</f>
        <v>0</v>
      </c>
      <c r="M36" s="268">
        <f t="shared" si="31"/>
        <v>0</v>
      </c>
      <c r="N36" s="268">
        <f t="shared" si="31"/>
        <v>0</v>
      </c>
      <c r="O36" s="268">
        <f t="shared" si="31"/>
        <v>0</v>
      </c>
      <c r="P36" s="268">
        <f t="shared" si="31"/>
        <v>0</v>
      </c>
      <c r="Q36" s="268">
        <f t="shared" si="31"/>
        <v>0</v>
      </c>
      <c r="R36" s="268">
        <f t="shared" si="31"/>
        <v>0</v>
      </c>
      <c r="S36" s="268">
        <f t="shared" si="31"/>
        <v>0</v>
      </c>
      <c r="W36" s="269"/>
      <c r="X36" s="269"/>
      <c r="Y36" s="269"/>
      <c r="Z36" s="269"/>
      <c r="AA36" s="269"/>
      <c r="AB36" s="269"/>
      <c r="AC36" s="269"/>
      <c r="AD36" s="269"/>
      <c r="AE36" s="269"/>
    </row>
    <row r="37" spans="1:199" s="268" customFormat="1" hidden="1">
      <c r="A37" s="272" t="s">
        <v>126</v>
      </c>
      <c r="B37" s="268">
        <f t="shared" ref="B37:K37" si="32">IF(B5="Mooring",B31,0)</f>
        <v>0</v>
      </c>
      <c r="C37" s="268">
        <f t="shared" si="32"/>
        <v>0</v>
      </c>
      <c r="D37" s="268">
        <f t="shared" si="32"/>
        <v>573.54999999999995</v>
      </c>
      <c r="E37" s="268">
        <f t="shared" si="32"/>
        <v>0</v>
      </c>
      <c r="F37" s="268">
        <f t="shared" si="32"/>
        <v>0</v>
      </c>
      <c r="G37" s="268">
        <f t="shared" si="32"/>
        <v>0</v>
      </c>
      <c r="H37" s="268">
        <f t="shared" si="32"/>
        <v>0</v>
      </c>
      <c r="I37" s="268">
        <f t="shared" si="32"/>
        <v>0</v>
      </c>
      <c r="J37" s="268">
        <f t="shared" si="32"/>
        <v>0</v>
      </c>
      <c r="K37" s="268">
        <f t="shared" si="32"/>
        <v>0</v>
      </c>
      <c r="L37" s="268">
        <f t="shared" ref="L37:S37" si="33">IF(L5="Mooring",L31,0)</f>
        <v>0</v>
      </c>
      <c r="M37" s="268">
        <f t="shared" si="33"/>
        <v>0</v>
      </c>
      <c r="N37" s="268">
        <f t="shared" si="33"/>
        <v>0</v>
      </c>
      <c r="O37" s="268">
        <f t="shared" si="33"/>
        <v>0</v>
      </c>
      <c r="P37" s="268">
        <f t="shared" si="33"/>
        <v>0</v>
      </c>
      <c r="Q37" s="268">
        <f t="shared" si="33"/>
        <v>0</v>
      </c>
      <c r="R37" s="268">
        <f t="shared" si="33"/>
        <v>0</v>
      </c>
      <c r="S37" s="268">
        <f t="shared" si="33"/>
        <v>0</v>
      </c>
      <c r="W37" s="269"/>
      <c r="X37" s="269"/>
      <c r="Y37" s="269"/>
      <c r="Z37" s="269"/>
      <c r="AA37" s="269"/>
      <c r="AB37" s="269"/>
      <c r="AC37" s="269"/>
      <c r="AD37" s="269"/>
      <c r="AE37" s="269"/>
    </row>
    <row r="38" spans="1:199" s="268" customFormat="1" hidden="1">
      <c r="A38" s="272" t="s">
        <v>127</v>
      </c>
      <c r="B38" s="268">
        <f t="shared" ref="B38:K38" si="34">IF(B5="Licence",B32,0)</f>
        <v>0</v>
      </c>
      <c r="C38" s="268">
        <f t="shared" si="34"/>
        <v>1076.8800000000001</v>
      </c>
      <c r="D38" s="268">
        <f t="shared" si="34"/>
        <v>0</v>
      </c>
      <c r="E38" s="268">
        <f t="shared" si="34"/>
        <v>0</v>
      </c>
      <c r="F38" s="268">
        <f t="shared" si="34"/>
        <v>0</v>
      </c>
      <c r="G38" s="268">
        <f t="shared" si="34"/>
        <v>0</v>
      </c>
      <c r="H38" s="268">
        <f t="shared" si="34"/>
        <v>0</v>
      </c>
      <c r="I38" s="268">
        <f t="shared" si="34"/>
        <v>0</v>
      </c>
      <c r="J38" s="268">
        <f t="shared" si="34"/>
        <v>0</v>
      </c>
      <c r="K38" s="268">
        <f t="shared" si="34"/>
        <v>0</v>
      </c>
      <c r="L38" s="268">
        <f t="shared" ref="L38:S38" si="35">IF(L5="Licence",L32,0)</f>
        <v>0</v>
      </c>
      <c r="M38" s="268">
        <f t="shared" si="35"/>
        <v>0</v>
      </c>
      <c r="N38" s="268">
        <f t="shared" si="35"/>
        <v>0</v>
      </c>
      <c r="O38" s="268">
        <f t="shared" si="35"/>
        <v>0</v>
      </c>
      <c r="P38" s="268">
        <f t="shared" si="35"/>
        <v>0</v>
      </c>
      <c r="Q38" s="268">
        <f t="shared" si="35"/>
        <v>0</v>
      </c>
      <c r="R38" s="268">
        <f t="shared" si="35"/>
        <v>0</v>
      </c>
      <c r="S38" s="268">
        <f t="shared" si="35"/>
        <v>0</v>
      </c>
      <c r="W38" s="269"/>
      <c r="X38" s="269"/>
      <c r="Y38" s="269"/>
      <c r="Z38" s="269"/>
      <c r="AA38" s="269"/>
      <c r="AB38" s="269"/>
      <c r="AC38" s="269"/>
      <c r="AD38" s="269"/>
      <c r="AE38" s="269"/>
    </row>
    <row r="39" spans="1:199" s="281" customFormat="1" ht="7.5" hidden="1" thickBot="1">
      <c r="A39" s="280" t="s">
        <v>128</v>
      </c>
      <c r="B39" s="281">
        <f t="shared" ref="B39:K39" si="36">B30-SUM(B36:B38)</f>
        <v>0</v>
      </c>
      <c r="C39" s="281">
        <f t="shared" si="36"/>
        <v>0</v>
      </c>
      <c r="D39" s="281">
        <f t="shared" si="36"/>
        <v>0</v>
      </c>
      <c r="E39" s="281">
        <f t="shared" si="36"/>
        <v>0</v>
      </c>
      <c r="F39" s="281">
        <f t="shared" si="36"/>
        <v>0</v>
      </c>
      <c r="G39" s="281">
        <f t="shared" si="36"/>
        <v>0</v>
      </c>
      <c r="H39" s="281">
        <f t="shared" si="36"/>
        <v>0</v>
      </c>
      <c r="I39" s="281">
        <f t="shared" si="36"/>
        <v>0</v>
      </c>
      <c r="J39" s="281">
        <f t="shared" si="36"/>
        <v>0</v>
      </c>
      <c r="K39" s="281">
        <f t="shared" si="36"/>
        <v>0</v>
      </c>
      <c r="L39" s="281">
        <f t="shared" ref="L39:S39" si="37">L30-SUM(L36:L38)</f>
        <v>210</v>
      </c>
      <c r="M39" s="281">
        <f t="shared" si="37"/>
        <v>0</v>
      </c>
      <c r="N39" s="281">
        <f t="shared" si="37"/>
        <v>0</v>
      </c>
      <c r="O39" s="281">
        <f t="shared" si="37"/>
        <v>0</v>
      </c>
      <c r="P39" s="281">
        <f t="shared" si="37"/>
        <v>0</v>
      </c>
      <c r="Q39" s="281">
        <f t="shared" si="37"/>
        <v>0</v>
      </c>
      <c r="R39" s="281">
        <f t="shared" si="37"/>
        <v>0</v>
      </c>
      <c r="S39" s="281">
        <f t="shared" si="37"/>
        <v>0</v>
      </c>
    </row>
    <row r="40" spans="1:199" ht="8" thickTop="1" thickBot="1">
      <c r="H40" t="s">
        <v>193</v>
      </c>
      <c r="K40" t="s">
        <v>193</v>
      </c>
    </row>
    <row r="41" spans="1:199" ht="11.5" thickTop="1" thickBot="1">
      <c r="A41" s="11" t="s">
        <v>159</v>
      </c>
      <c r="U41" s="228"/>
    </row>
    <row r="42" spans="1:199" ht="7.5" thickTop="1">
      <c r="A42" s="87" t="s">
        <v>71</v>
      </c>
      <c r="B42" s="547" t="s">
        <v>180</v>
      </c>
      <c r="C42" s="547" t="s">
        <v>144</v>
      </c>
      <c r="D42" s="547" t="s">
        <v>180</v>
      </c>
      <c r="E42" s="547" t="s">
        <v>180</v>
      </c>
      <c r="F42" s="547" t="s">
        <v>180</v>
      </c>
      <c r="G42" s="547" t="s">
        <v>259</v>
      </c>
      <c r="H42" s="547" t="s">
        <v>180</v>
      </c>
      <c r="I42" s="547" t="s">
        <v>180</v>
      </c>
      <c r="J42" s="547" t="s">
        <v>180</v>
      </c>
      <c r="K42" s="547" t="s">
        <v>119</v>
      </c>
      <c r="L42" s="547" t="s">
        <v>257</v>
      </c>
      <c r="M42" s="547" t="s">
        <v>266</v>
      </c>
      <c r="N42" s="547" t="s">
        <v>180</v>
      </c>
      <c r="O42" s="547" t="s">
        <v>119</v>
      </c>
      <c r="P42" s="547" t="s">
        <v>67</v>
      </c>
      <c r="Q42" s="547" t="s">
        <v>260</v>
      </c>
      <c r="R42" s="547" t="s">
        <v>180</v>
      </c>
      <c r="S42" s="547" t="s">
        <v>180</v>
      </c>
      <c r="T42" s="90"/>
      <c r="U42" s="90"/>
    </row>
    <row r="43" spans="1:199">
      <c r="A43" s="7" t="s">
        <v>72</v>
      </c>
      <c r="B43" s="88">
        <f>Summary!E1</f>
        <v>43587</v>
      </c>
      <c r="C43" s="86">
        <f>B43+7</f>
        <v>43594</v>
      </c>
      <c r="D43" s="86">
        <f>C43+7</f>
        <v>43601</v>
      </c>
      <c r="E43" s="86">
        <f>D43+7</f>
        <v>43608</v>
      </c>
      <c r="F43" s="86">
        <f t="shared" ref="F43:S43" si="38">E43+7</f>
        <v>43615</v>
      </c>
      <c r="G43" s="86">
        <f t="shared" si="38"/>
        <v>43622</v>
      </c>
      <c r="H43" s="86">
        <f t="shared" si="38"/>
        <v>43629</v>
      </c>
      <c r="I43" s="86">
        <f t="shared" si="38"/>
        <v>43636</v>
      </c>
      <c r="J43" s="86">
        <f t="shared" si="38"/>
        <v>43643</v>
      </c>
      <c r="K43" s="86">
        <f t="shared" si="38"/>
        <v>43650</v>
      </c>
      <c r="L43" s="86">
        <f t="shared" si="38"/>
        <v>43657</v>
      </c>
      <c r="M43" s="86">
        <f t="shared" si="38"/>
        <v>43664</v>
      </c>
      <c r="N43" s="86">
        <f t="shared" si="38"/>
        <v>43671</v>
      </c>
      <c r="O43" s="86">
        <f t="shared" si="38"/>
        <v>43678</v>
      </c>
      <c r="P43" s="86">
        <f t="shared" si="38"/>
        <v>43685</v>
      </c>
      <c r="Q43" s="86">
        <f t="shared" si="38"/>
        <v>43692</v>
      </c>
      <c r="R43" s="86">
        <f t="shared" si="38"/>
        <v>43699</v>
      </c>
      <c r="S43" s="86">
        <f t="shared" si="38"/>
        <v>43706</v>
      </c>
      <c r="T43" s="89"/>
      <c r="U43" s="89"/>
      <c r="Z43" s="90"/>
      <c r="AA43" s="90"/>
      <c r="AB43" s="90"/>
      <c r="AC43" s="90"/>
      <c r="AD43" s="90"/>
      <c r="AE43" s="90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</row>
    <row r="44" spans="1:199" s="14" customFormat="1">
      <c r="A44" s="217" t="s">
        <v>14</v>
      </c>
      <c r="B44" s="344"/>
      <c r="C44" s="343">
        <v>6</v>
      </c>
      <c r="D44" s="343"/>
      <c r="E44" s="343"/>
      <c r="F44" s="343"/>
      <c r="G44" s="343">
        <v>6</v>
      </c>
      <c r="H44" s="343"/>
      <c r="I44" s="343"/>
      <c r="J44" s="343"/>
      <c r="K44" s="343">
        <v>3</v>
      </c>
      <c r="L44" s="343">
        <v>5</v>
      </c>
      <c r="M44" s="343">
        <v>4</v>
      </c>
      <c r="N44" s="343"/>
      <c r="O44" s="343">
        <v>5</v>
      </c>
      <c r="P44" s="343">
        <v>4</v>
      </c>
      <c r="Q44" s="343">
        <v>4</v>
      </c>
      <c r="R44" s="343"/>
      <c r="S44" s="343"/>
      <c r="T44" s="89"/>
      <c r="U44" s="209"/>
      <c r="W44" s="90"/>
      <c r="X44" s="90"/>
      <c r="Y44" s="90"/>
      <c r="Z44" s="90"/>
      <c r="AA44" s="90"/>
      <c r="AB44" s="90"/>
      <c r="AC44" s="90"/>
      <c r="AD44" s="90"/>
      <c r="AE44" s="90"/>
    </row>
    <row r="45" spans="1:199" s="210" customFormat="1" ht="7.5" thickBot="1">
      <c r="A45" s="219" t="s">
        <v>15</v>
      </c>
      <c r="B45" s="347"/>
      <c r="C45" s="346">
        <v>6</v>
      </c>
      <c r="D45" s="346"/>
      <c r="E45" s="346"/>
      <c r="F45" s="346"/>
      <c r="G45" s="346">
        <v>21</v>
      </c>
      <c r="H45" s="346"/>
      <c r="I45" s="346"/>
      <c r="J45" s="346"/>
      <c r="K45" s="346">
        <v>13</v>
      </c>
      <c r="L45" s="346">
        <v>18</v>
      </c>
      <c r="M45" s="346">
        <v>16</v>
      </c>
      <c r="N45" s="346"/>
      <c r="O45" s="346">
        <v>8</v>
      </c>
      <c r="P45" s="346">
        <v>5</v>
      </c>
      <c r="Q45" s="346">
        <v>16</v>
      </c>
      <c r="R45" s="346"/>
      <c r="S45" s="346"/>
      <c r="T45" s="209"/>
      <c r="U45" s="209"/>
      <c r="W45" s="209"/>
      <c r="X45" s="209"/>
      <c r="Y45" s="209"/>
      <c r="Z45" s="209"/>
      <c r="AA45" s="209"/>
      <c r="AB45" s="209"/>
      <c r="AC45" s="209"/>
      <c r="AD45" s="209"/>
      <c r="AE45" s="209"/>
    </row>
    <row r="46" spans="1:199" s="284" customFormat="1" ht="7.5" hidden="1" thickTop="1">
      <c r="A46" s="282" t="s">
        <v>131</v>
      </c>
      <c r="B46" s="283">
        <f>IF(OR(ISTEXT(B43),B43=0),Summary!$E$1-7,B43-MOD(B43-Summary!$E$1,7))</f>
        <v>43587</v>
      </c>
      <c r="C46" s="283">
        <f>IF(OR(ISTEXT(C43),C43=0),Summary!$E$1-7,C43-MOD(C43-Summary!$E$1,7))</f>
        <v>43594</v>
      </c>
      <c r="D46" s="283">
        <f>IF(OR(ISTEXT(D43),D43=0),Summary!$E$1-7,D43-MOD(D43-Summary!$E$1,7))</f>
        <v>43601</v>
      </c>
      <c r="E46" s="283">
        <f>IF(OR(ISTEXT(E43),E43=0),Summary!$E$1-7,E43-MOD(E43-Summary!$E$1,7))</f>
        <v>43608</v>
      </c>
      <c r="F46" s="283">
        <f>IF(OR(ISTEXT(F43),F43=0),Summary!$E$1-7,F43-MOD(F43-Summary!$E$1,7))</f>
        <v>43615</v>
      </c>
      <c r="G46" s="283">
        <f>IF(OR(ISTEXT(G43),G43=0),Summary!$E$1-7,G43-MOD(G43-Summary!$E$1,7))</f>
        <v>43622</v>
      </c>
      <c r="H46" s="283">
        <f>IF(OR(ISTEXT(H43),H43=0),Summary!$E$1-7,H43-MOD(H43-Summary!$E$1,7))</f>
        <v>43629</v>
      </c>
      <c r="I46" s="283">
        <f>IF(OR(ISTEXT(I43),I43=0),Summary!$E$1-7,I43-MOD(I43-Summary!$E$1,7))</f>
        <v>43636</v>
      </c>
      <c r="J46" s="283">
        <f>IF(OR(ISTEXT(J43),J43=0),Summary!$E$1-7,J43-MOD(J43-Summary!$E$1,7))</f>
        <v>43643</v>
      </c>
      <c r="K46" s="283">
        <f>IF(OR(ISTEXT(K43),K43=0),Summary!$E$1-7,K43-MOD(K43-Summary!$E$1,7))</f>
        <v>43650</v>
      </c>
      <c r="L46" s="283">
        <f>IF(OR(ISTEXT(L43),L43=0),Summary!$E$1-7,L43-MOD(L43-Summary!$E$1,7))</f>
        <v>43657</v>
      </c>
      <c r="M46" s="283">
        <f>IF(OR(ISTEXT(M43),M43=0),Summary!$E$1-7,M43-MOD(M43-Summary!$E$1,7))</f>
        <v>43664</v>
      </c>
      <c r="N46" s="283">
        <f>IF(OR(ISTEXT(N43),N43=0),Summary!$E$1-7,N43-MOD(N43-Summary!$E$1,7))</f>
        <v>43671</v>
      </c>
      <c r="O46" s="283">
        <f>IF(OR(ISTEXT(O43),O43=0),Summary!$E$1-7,O43-MOD(O43-Summary!$E$1,7))</f>
        <v>43678</v>
      </c>
      <c r="P46" s="283">
        <f>IF(OR(ISTEXT(P43),P43=0),Summary!$E$1-7,P43-MOD(P43-Summary!$E$1,7))</f>
        <v>43685</v>
      </c>
      <c r="Q46" s="283">
        <f>IF(OR(ISTEXT(Q43),Q43=0),Summary!$E$1-7,Q43-MOD(Q43-Summary!$E$1,7))</f>
        <v>43692</v>
      </c>
      <c r="R46" s="283">
        <f>IF(OR(ISTEXT(R43),R43=0),Summary!$E$1-7,R43-MOD(R43-Summary!$E$1,7))</f>
        <v>43699</v>
      </c>
      <c r="S46" s="283">
        <f>IF(OR(ISTEXT(S43),S43=0),Summary!$E$1-7,S43-MOD(S43-Summary!$E$1,7))</f>
        <v>43706</v>
      </c>
      <c r="T46" s="285"/>
      <c r="W46" s="285"/>
      <c r="X46" s="285"/>
      <c r="Y46" s="285"/>
      <c r="Z46" s="285"/>
      <c r="AA46" s="285"/>
      <c r="AB46" s="285"/>
      <c r="AC46" s="285"/>
      <c r="AD46" s="285"/>
      <c r="AE46" s="285"/>
    </row>
    <row r="47" spans="1:199" s="284" customFormat="1" hidden="1">
      <c r="A47" s="276" t="s">
        <v>147</v>
      </c>
      <c r="B47" s="335" t="b">
        <f t="shared" ref="B47:S47" si="39">OR(ISNUMBER(HLOOKUP(B46,B83:S84,2)),ISNUMBER(HLOOKUP(B46,B124:S125,2)))</f>
        <v>0</v>
      </c>
      <c r="C47" s="337" t="b">
        <f t="shared" si="39"/>
        <v>0</v>
      </c>
      <c r="D47" s="337" t="b">
        <f t="shared" si="39"/>
        <v>0</v>
      </c>
      <c r="E47" s="337" t="b">
        <f t="shared" si="39"/>
        <v>0</v>
      </c>
      <c r="F47" s="337" t="b">
        <f t="shared" si="39"/>
        <v>0</v>
      </c>
      <c r="G47" s="337" t="b">
        <f t="shared" si="39"/>
        <v>0</v>
      </c>
      <c r="H47" s="337" t="b">
        <f t="shared" si="39"/>
        <v>0</v>
      </c>
      <c r="I47" s="337" t="b">
        <f t="shared" si="39"/>
        <v>0</v>
      </c>
      <c r="J47" s="337" t="b">
        <f t="shared" si="39"/>
        <v>0</v>
      </c>
      <c r="K47" s="337" t="b">
        <f t="shared" si="39"/>
        <v>0</v>
      </c>
      <c r="L47" s="337" t="b">
        <f t="shared" si="39"/>
        <v>0</v>
      </c>
      <c r="M47" s="337" t="b">
        <f t="shared" si="39"/>
        <v>0</v>
      </c>
      <c r="N47" s="337" t="b">
        <f t="shared" si="39"/>
        <v>0</v>
      </c>
      <c r="O47" s="337" t="b">
        <f t="shared" si="39"/>
        <v>0</v>
      </c>
      <c r="P47" s="337" t="b">
        <f t="shared" si="39"/>
        <v>0</v>
      </c>
      <c r="Q47" s="337" t="b">
        <f t="shared" si="39"/>
        <v>0</v>
      </c>
      <c r="R47" s="337" t="b">
        <f t="shared" si="39"/>
        <v>0</v>
      </c>
      <c r="S47" s="337" t="b">
        <f t="shared" si="39"/>
        <v>0</v>
      </c>
      <c r="T47" s="285"/>
      <c r="W47" s="285"/>
      <c r="X47" s="285"/>
      <c r="Y47" s="285"/>
      <c r="Z47" s="285"/>
      <c r="AA47" s="285"/>
      <c r="AB47" s="285"/>
      <c r="AC47" s="285"/>
      <c r="AD47" s="285"/>
      <c r="AE47" s="285"/>
    </row>
    <row r="48" spans="1:199" s="284" customFormat="1" hidden="1">
      <c r="A48" s="276" t="s">
        <v>145</v>
      </c>
      <c r="B48" s="335">
        <f>IF(OR(B47,B44=0),0,1)</f>
        <v>0</v>
      </c>
      <c r="C48" s="337">
        <f>IF(OR(C47,C44=0),0,1)</f>
        <v>1</v>
      </c>
      <c r="D48" s="337">
        <f>IF(OR(D47,D44=0),0,1)</f>
        <v>0</v>
      </c>
      <c r="E48" s="337">
        <f>IF(OR(E47,E44=0),0,1)</f>
        <v>0</v>
      </c>
      <c r="F48" s="337">
        <f t="shared" ref="F48:S48" si="40">IF(OR(F47,F44=0),0,1)</f>
        <v>0</v>
      </c>
      <c r="G48" s="337">
        <f t="shared" si="40"/>
        <v>1</v>
      </c>
      <c r="H48" s="337">
        <f t="shared" si="40"/>
        <v>0</v>
      </c>
      <c r="I48" s="337">
        <f t="shared" si="40"/>
        <v>0</v>
      </c>
      <c r="J48" s="337">
        <f t="shared" si="40"/>
        <v>0</v>
      </c>
      <c r="K48" s="337">
        <f t="shared" si="40"/>
        <v>1</v>
      </c>
      <c r="L48" s="337">
        <f t="shared" si="40"/>
        <v>1</v>
      </c>
      <c r="M48" s="337">
        <f t="shared" si="40"/>
        <v>1</v>
      </c>
      <c r="N48" s="337">
        <f t="shared" si="40"/>
        <v>0</v>
      </c>
      <c r="O48" s="337">
        <f t="shared" si="40"/>
        <v>1</v>
      </c>
      <c r="P48" s="337">
        <f t="shared" si="40"/>
        <v>1</v>
      </c>
      <c r="Q48" s="337">
        <f t="shared" si="40"/>
        <v>1</v>
      </c>
      <c r="R48" s="337">
        <f t="shared" si="40"/>
        <v>0</v>
      </c>
      <c r="S48" s="337">
        <f t="shared" si="40"/>
        <v>0</v>
      </c>
      <c r="T48" s="285"/>
      <c r="W48" s="285"/>
      <c r="X48" s="285"/>
      <c r="Y48" s="285"/>
      <c r="Z48" s="285"/>
      <c r="AA48" s="285"/>
      <c r="AB48" s="285"/>
      <c r="AC48" s="285"/>
      <c r="AD48" s="285"/>
      <c r="AE48" s="285"/>
    </row>
    <row r="49" spans="1:31" s="273" customFormat="1" hidden="1">
      <c r="A49" s="276" t="s">
        <v>146</v>
      </c>
      <c r="B49" s="275">
        <f>IF(B44&gt;0,IF(B46=S9,S12,S12+1),S12)</f>
        <v>0</v>
      </c>
      <c r="C49" s="275">
        <f t="shared" ref="C49:S49" si="41">IF(C44&gt;0,IF(C46=B46,B49,B49+1),B49)</f>
        <v>1</v>
      </c>
      <c r="D49" s="275">
        <f t="shared" si="41"/>
        <v>1</v>
      </c>
      <c r="E49" s="275">
        <f t="shared" si="41"/>
        <v>1</v>
      </c>
      <c r="F49" s="275">
        <f t="shared" si="41"/>
        <v>1</v>
      </c>
      <c r="G49" s="275">
        <f t="shared" si="41"/>
        <v>2</v>
      </c>
      <c r="H49" s="275">
        <f t="shared" si="41"/>
        <v>2</v>
      </c>
      <c r="I49" s="275">
        <f t="shared" si="41"/>
        <v>2</v>
      </c>
      <c r="J49" s="275">
        <f t="shared" si="41"/>
        <v>2</v>
      </c>
      <c r="K49" s="275">
        <f t="shared" si="41"/>
        <v>3</v>
      </c>
      <c r="L49" s="275">
        <f t="shared" si="41"/>
        <v>4</v>
      </c>
      <c r="M49" s="275">
        <f t="shared" si="41"/>
        <v>5</v>
      </c>
      <c r="N49" s="275">
        <f t="shared" si="41"/>
        <v>5</v>
      </c>
      <c r="O49" s="275">
        <f t="shared" si="41"/>
        <v>6</v>
      </c>
      <c r="P49" s="275">
        <f t="shared" si="41"/>
        <v>7</v>
      </c>
      <c r="Q49" s="275">
        <f t="shared" si="41"/>
        <v>8</v>
      </c>
      <c r="R49" s="275">
        <f t="shared" si="41"/>
        <v>8</v>
      </c>
      <c r="S49" s="275">
        <f t="shared" si="41"/>
        <v>8</v>
      </c>
      <c r="T49" s="274"/>
      <c r="W49" s="274"/>
      <c r="X49" s="274"/>
      <c r="Y49" s="274"/>
      <c r="Z49" s="274"/>
      <c r="AA49" s="274"/>
      <c r="AB49" s="274"/>
      <c r="AC49" s="274"/>
      <c r="AD49" s="274"/>
      <c r="AE49" s="274"/>
    </row>
    <row r="50" spans="1:31" s="273" customFormat="1" ht="7.5" hidden="1" thickBot="1">
      <c r="A50" s="276" t="s">
        <v>130</v>
      </c>
      <c r="B50" s="275">
        <f>IF(LEN(B42)&gt;9,0,1)</f>
        <v>0</v>
      </c>
      <c r="C50" s="275">
        <f t="shared" ref="C50:S50" si="42">IF(ISERROR(C43-B43),0,IF(OR(C43-B43&lt;7,LEN(C42)&gt;9),0,1))</f>
        <v>1</v>
      </c>
      <c r="D50" s="275">
        <f t="shared" si="42"/>
        <v>0</v>
      </c>
      <c r="E50" s="275">
        <f t="shared" si="42"/>
        <v>0</v>
      </c>
      <c r="F50" s="275">
        <f t="shared" si="42"/>
        <v>0</v>
      </c>
      <c r="G50" s="275">
        <f t="shared" si="42"/>
        <v>1</v>
      </c>
      <c r="H50" s="275">
        <f t="shared" si="42"/>
        <v>0</v>
      </c>
      <c r="I50" s="275">
        <f t="shared" si="42"/>
        <v>0</v>
      </c>
      <c r="J50" s="275">
        <f t="shared" si="42"/>
        <v>0</v>
      </c>
      <c r="K50" s="275">
        <f t="shared" si="42"/>
        <v>1</v>
      </c>
      <c r="L50" s="275">
        <f t="shared" si="42"/>
        <v>1</v>
      </c>
      <c r="M50" s="275">
        <f t="shared" si="42"/>
        <v>1</v>
      </c>
      <c r="N50" s="275">
        <f t="shared" si="42"/>
        <v>0</v>
      </c>
      <c r="O50" s="275">
        <f t="shared" si="42"/>
        <v>1</v>
      </c>
      <c r="P50" s="275">
        <f t="shared" si="42"/>
        <v>1</v>
      </c>
      <c r="Q50" s="275">
        <f t="shared" si="42"/>
        <v>1</v>
      </c>
      <c r="R50" s="275">
        <f t="shared" si="42"/>
        <v>0</v>
      </c>
      <c r="S50" s="275">
        <f t="shared" si="42"/>
        <v>0</v>
      </c>
      <c r="T50" s="274"/>
      <c r="W50" s="274"/>
      <c r="X50" s="274"/>
      <c r="Y50" s="274"/>
      <c r="Z50" s="274"/>
      <c r="AA50" s="274"/>
      <c r="AB50" s="274"/>
      <c r="AC50" s="274"/>
      <c r="AD50" s="274"/>
      <c r="AE50" s="274"/>
    </row>
    <row r="51" spans="1:31" s="69" customFormat="1" ht="11.5" thickTop="1" thickBot="1">
      <c r="A51" s="68" t="s">
        <v>16</v>
      </c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70"/>
      <c r="U51" s="70"/>
    </row>
    <row r="52" spans="1:31" s="48" customFormat="1" ht="7.5" thickTop="1">
      <c r="A52" s="52" t="s">
        <v>25</v>
      </c>
      <c r="B52" s="350"/>
      <c r="C52" s="349">
        <v>25</v>
      </c>
      <c r="D52" s="349"/>
      <c r="E52" s="349"/>
      <c r="F52" s="349"/>
      <c r="G52" s="349">
        <v>25</v>
      </c>
      <c r="H52" s="349"/>
      <c r="I52" s="349"/>
      <c r="J52" s="349"/>
      <c r="K52" s="349">
        <v>25</v>
      </c>
      <c r="L52" s="349">
        <v>25</v>
      </c>
      <c r="M52" s="349">
        <v>25</v>
      </c>
      <c r="N52" s="349"/>
      <c r="O52" s="349">
        <v>25</v>
      </c>
      <c r="P52" s="349">
        <v>25</v>
      </c>
      <c r="Q52" s="349">
        <v>25</v>
      </c>
      <c r="R52" s="349"/>
      <c r="S52" s="349"/>
      <c r="T52" s="69"/>
      <c r="U52" s="69"/>
      <c r="W52" s="69"/>
      <c r="X52" s="69"/>
      <c r="Y52" s="69"/>
      <c r="Z52" s="69"/>
      <c r="AA52" s="69"/>
      <c r="AB52" s="69"/>
      <c r="AC52" s="69"/>
      <c r="AD52" s="69"/>
      <c r="AE52" s="69"/>
    </row>
    <row r="53" spans="1:31" s="48" customFormat="1">
      <c r="A53" s="55" t="s">
        <v>26</v>
      </c>
      <c r="B53" s="353"/>
      <c r="C53" s="352">
        <v>180</v>
      </c>
      <c r="D53" s="352"/>
      <c r="E53" s="352"/>
      <c r="F53" s="352"/>
      <c r="G53" s="352">
        <v>150</v>
      </c>
      <c r="H53" s="352"/>
      <c r="I53" s="352"/>
      <c r="J53" s="352"/>
      <c r="K53" s="352">
        <v>75</v>
      </c>
      <c r="L53" s="352">
        <v>125</v>
      </c>
      <c r="M53" s="352">
        <v>100</v>
      </c>
      <c r="N53" s="352"/>
      <c r="O53" s="352">
        <v>125</v>
      </c>
      <c r="P53" s="352">
        <v>100</v>
      </c>
      <c r="Q53" s="352">
        <v>100</v>
      </c>
      <c r="R53" s="352"/>
      <c r="S53" s="352"/>
      <c r="T53" s="69"/>
      <c r="U53" s="69"/>
      <c r="W53" s="69"/>
      <c r="X53" s="69"/>
      <c r="Y53" s="69"/>
      <c r="Z53" s="69"/>
      <c r="AA53" s="69"/>
      <c r="AB53" s="69"/>
      <c r="AC53" s="69"/>
      <c r="AD53" s="69"/>
      <c r="AE53" s="69"/>
    </row>
    <row r="54" spans="1:31" s="48" customFormat="1" ht="7.5" thickBot="1">
      <c r="A54" s="112" t="s">
        <v>29</v>
      </c>
      <c r="B54" s="356"/>
      <c r="C54" s="355">
        <v>60</v>
      </c>
      <c r="D54" s="355"/>
      <c r="E54" s="355"/>
      <c r="F54" s="355"/>
      <c r="G54" s="355">
        <v>210</v>
      </c>
      <c r="H54" s="355"/>
      <c r="I54" s="355"/>
      <c r="J54" s="355"/>
      <c r="K54" s="355">
        <v>130</v>
      </c>
      <c r="L54" s="355">
        <v>180</v>
      </c>
      <c r="M54" s="355">
        <v>160</v>
      </c>
      <c r="N54" s="355"/>
      <c r="O54" s="355">
        <v>80</v>
      </c>
      <c r="P54" s="355">
        <v>50</v>
      </c>
      <c r="Q54" s="355">
        <v>240</v>
      </c>
      <c r="R54" s="355"/>
      <c r="S54" s="355"/>
      <c r="T54" s="69"/>
      <c r="U54" s="69"/>
      <c r="W54" s="69"/>
      <c r="X54" s="69"/>
      <c r="Y54" s="69"/>
      <c r="Z54" s="69"/>
      <c r="AA54" s="69"/>
      <c r="AB54" s="69"/>
      <c r="AC54" s="69"/>
      <c r="AD54" s="69"/>
      <c r="AE54" s="69"/>
    </row>
    <row r="55" spans="1:31" s="48" customFormat="1" ht="11.5" thickTop="1" thickBot="1">
      <c r="A55" s="115" t="s">
        <v>73</v>
      </c>
      <c r="B55" s="71">
        <f>SUM(B52:B54)</f>
        <v>0</v>
      </c>
      <c r="C55" s="74">
        <f>SUM(C52:C54)</f>
        <v>265</v>
      </c>
      <c r="D55" s="74">
        <f>SUM(D52:D54)</f>
        <v>0</v>
      </c>
      <c r="E55" s="74">
        <f>SUM(E52:E54)</f>
        <v>0</v>
      </c>
      <c r="F55" s="74">
        <f t="shared" ref="F55:S55" si="43">SUM(F52:F54)</f>
        <v>0</v>
      </c>
      <c r="G55" s="74">
        <f t="shared" si="43"/>
        <v>385</v>
      </c>
      <c r="H55" s="74">
        <f t="shared" si="43"/>
        <v>0</v>
      </c>
      <c r="I55" s="74">
        <f t="shared" si="43"/>
        <v>0</v>
      </c>
      <c r="J55" s="74">
        <f t="shared" si="43"/>
        <v>0</v>
      </c>
      <c r="K55" s="74">
        <f t="shared" si="43"/>
        <v>230</v>
      </c>
      <c r="L55" s="74">
        <f t="shared" si="43"/>
        <v>330</v>
      </c>
      <c r="M55" s="74">
        <f t="shared" si="43"/>
        <v>285</v>
      </c>
      <c r="N55" s="74">
        <f t="shared" si="43"/>
        <v>0</v>
      </c>
      <c r="O55" s="74">
        <f t="shared" si="43"/>
        <v>230</v>
      </c>
      <c r="P55" s="74">
        <f t="shared" si="43"/>
        <v>175</v>
      </c>
      <c r="Q55" s="74">
        <f t="shared" si="43"/>
        <v>365</v>
      </c>
      <c r="R55" s="74">
        <f t="shared" si="43"/>
        <v>0</v>
      </c>
      <c r="S55" s="74">
        <f t="shared" si="43"/>
        <v>0</v>
      </c>
      <c r="T55" s="69"/>
      <c r="U55" s="69"/>
      <c r="W55" s="69"/>
      <c r="X55" s="69"/>
      <c r="Y55" s="69"/>
      <c r="Z55" s="69"/>
      <c r="AA55" s="69"/>
      <c r="AB55" s="69"/>
      <c r="AC55" s="69"/>
      <c r="AD55" s="69"/>
      <c r="AE55" s="69"/>
    </row>
    <row r="56" spans="1:31" s="48" customFormat="1" ht="11.5" thickTop="1" thickBot="1">
      <c r="A56" s="303" t="s">
        <v>75</v>
      </c>
      <c r="B56" s="304" t="str">
        <f ca="1">IF(OR(LEFT(B42,2)="un",B55&lt;&gt;0,B69&lt;&gt;0, B42="",B43&gt;NOW()),"","Acct Due")</f>
        <v/>
      </c>
      <c r="C56" s="304" t="str">
        <f ca="1">IF(OR(LEFT(C42,2)="un",C55&lt;&gt;0,C69&lt;&gt;0, C42="",C43&gt;NOW()),"","Acct Due")</f>
        <v/>
      </c>
      <c r="D56" s="304" t="str">
        <f ca="1">IF(OR(LEFT(D42,2)="un",D55&lt;&gt;0,D69&lt;&gt;0, D42="",D43&gt;NOW()),"","Acct Due")</f>
        <v/>
      </c>
      <c r="E56" s="304" t="str">
        <f ca="1">IF(OR(LEFT(E42,2)="un",E55&lt;&gt;0,E69&lt;&gt;0, E42="",E43&gt;NOW()),"","Acct Due")</f>
        <v/>
      </c>
      <c r="F56" s="304" t="str">
        <f t="shared" ref="F56:S56" ca="1" si="44">IF(OR(LEFT(F42,2)="un",F55&lt;&gt;0,F69&lt;&gt;0, F42="",F43&gt;NOW()),"","Acct Due")</f>
        <v/>
      </c>
      <c r="G56" s="304" t="str">
        <f t="shared" ca="1" si="44"/>
        <v/>
      </c>
      <c r="H56" s="304" t="str">
        <f t="shared" ca="1" si="44"/>
        <v/>
      </c>
      <c r="I56" s="304" t="str">
        <f t="shared" ca="1" si="44"/>
        <v/>
      </c>
      <c r="J56" s="304" t="str">
        <f t="shared" ca="1" si="44"/>
        <v/>
      </c>
      <c r="K56" s="304" t="str">
        <f t="shared" ca="1" si="44"/>
        <v/>
      </c>
      <c r="L56" s="304" t="str">
        <f t="shared" ca="1" si="44"/>
        <v/>
      </c>
      <c r="M56" s="304" t="str">
        <f t="shared" ca="1" si="44"/>
        <v/>
      </c>
      <c r="N56" s="304" t="str">
        <f t="shared" ca="1" si="44"/>
        <v/>
      </c>
      <c r="O56" s="304" t="str">
        <f t="shared" ca="1" si="44"/>
        <v/>
      </c>
      <c r="P56" s="304" t="str">
        <f t="shared" ca="1" si="44"/>
        <v/>
      </c>
      <c r="Q56" s="304" t="str">
        <f t="shared" ca="1" si="44"/>
        <v/>
      </c>
      <c r="R56" s="304" t="str">
        <f t="shared" ca="1" si="44"/>
        <v/>
      </c>
      <c r="S56" s="304" t="str">
        <f t="shared" ca="1" si="44"/>
        <v/>
      </c>
      <c r="T56" s="69"/>
      <c r="W56" s="69"/>
      <c r="X56" s="69"/>
      <c r="Y56" s="69"/>
      <c r="Z56" s="69"/>
      <c r="AA56" s="69"/>
      <c r="AB56" s="69"/>
      <c r="AC56" s="69"/>
      <c r="AD56" s="69"/>
      <c r="AE56" s="69"/>
    </row>
    <row r="57" spans="1:31" s="48" customFormat="1" ht="7.5" thickTop="1">
      <c r="A57" s="52" t="s">
        <v>39</v>
      </c>
      <c r="B57" s="350"/>
      <c r="C57" s="349">
        <v>32</v>
      </c>
      <c r="D57" s="349"/>
      <c r="E57" s="349"/>
      <c r="F57" s="349"/>
      <c r="G57" s="349">
        <v>38.380000000000003</v>
      </c>
      <c r="H57" s="349"/>
      <c r="I57" s="349"/>
      <c r="J57" s="349"/>
      <c r="K57" s="349">
        <v>28</v>
      </c>
      <c r="L57" s="349">
        <v>77.83</v>
      </c>
      <c r="M57" s="349"/>
      <c r="N57" s="349"/>
      <c r="O57" s="349">
        <v>27</v>
      </c>
      <c r="P57" s="349"/>
      <c r="Q57" s="349">
        <v>73.849999999999994</v>
      </c>
      <c r="R57" s="349"/>
      <c r="S57" s="349"/>
      <c r="T57" s="69"/>
      <c r="U57" s="69"/>
      <c r="W57" s="69"/>
      <c r="X57" s="69"/>
      <c r="Y57" s="69"/>
      <c r="Z57" s="69"/>
      <c r="AA57" s="69"/>
      <c r="AB57" s="69"/>
      <c r="AC57" s="69"/>
      <c r="AD57" s="69"/>
      <c r="AE57" s="69"/>
    </row>
    <row r="58" spans="1:31" s="48" customFormat="1">
      <c r="A58" s="55" t="s">
        <v>40</v>
      </c>
      <c r="B58" s="353"/>
      <c r="C58" s="352"/>
      <c r="D58" s="352"/>
      <c r="E58" s="352"/>
      <c r="F58" s="352"/>
      <c r="G58" s="352"/>
      <c r="H58" s="352"/>
      <c r="I58" s="352"/>
      <c r="J58" s="352"/>
      <c r="K58" s="352"/>
      <c r="L58" s="352">
        <v>168.04</v>
      </c>
      <c r="M58" s="352"/>
      <c r="N58" s="352"/>
      <c r="O58" s="352"/>
      <c r="P58" s="352"/>
      <c r="Q58" s="352">
        <v>123.42</v>
      </c>
      <c r="R58" s="352"/>
      <c r="S58" s="352"/>
      <c r="T58" s="69"/>
      <c r="U58" s="69"/>
      <c r="W58" s="69"/>
      <c r="X58" s="69"/>
      <c r="Y58" s="69"/>
      <c r="Z58" s="69"/>
      <c r="AA58" s="69"/>
      <c r="AB58" s="69"/>
      <c r="AC58" s="69"/>
      <c r="AD58" s="69"/>
      <c r="AE58" s="69"/>
    </row>
    <row r="59" spans="1:31" s="48" customFormat="1">
      <c r="A59" s="55" t="s">
        <v>41</v>
      </c>
      <c r="B59" s="353"/>
      <c r="C59" s="352"/>
      <c r="D59" s="352"/>
      <c r="E59" s="352"/>
      <c r="F59" s="352"/>
      <c r="G59" s="352"/>
      <c r="H59" s="352"/>
      <c r="I59" s="352"/>
      <c r="J59" s="352"/>
      <c r="K59" s="352"/>
      <c r="L59" s="352"/>
      <c r="M59" s="352"/>
      <c r="N59" s="352"/>
      <c r="O59" s="352"/>
      <c r="P59" s="352"/>
      <c r="Q59" s="352">
        <v>22</v>
      </c>
      <c r="R59" s="352"/>
      <c r="S59" s="352"/>
      <c r="T59" s="69"/>
      <c r="U59" s="69"/>
      <c r="W59" s="69"/>
      <c r="X59" s="69"/>
      <c r="Y59" s="69"/>
      <c r="Z59" s="69"/>
      <c r="AA59" s="69"/>
      <c r="AB59" s="69"/>
      <c r="AC59" s="69"/>
      <c r="AD59" s="69"/>
      <c r="AE59" s="69"/>
    </row>
    <row r="60" spans="1:31" s="48" customFormat="1">
      <c r="A60" s="57" t="s">
        <v>43</v>
      </c>
      <c r="B60" s="103">
        <f>+'OTHER COSTS'!T82</f>
        <v>0</v>
      </c>
      <c r="C60" s="103">
        <f>+'OTHER COSTS'!U82</f>
        <v>0</v>
      </c>
      <c r="D60" s="103">
        <f>+'OTHER COSTS'!V82</f>
        <v>0</v>
      </c>
      <c r="E60" s="103">
        <f>+'OTHER COSTS'!W82</f>
        <v>0</v>
      </c>
      <c r="F60" s="103">
        <f>+'OTHER COSTS'!X82</f>
        <v>0</v>
      </c>
      <c r="G60" s="103">
        <f>+'OTHER COSTS'!Y82</f>
        <v>0</v>
      </c>
      <c r="H60" s="103">
        <f>+'OTHER COSTS'!Z82</f>
        <v>0</v>
      </c>
      <c r="I60" s="103">
        <f>+'OTHER COSTS'!AA82</f>
        <v>0</v>
      </c>
      <c r="J60" s="103">
        <f>+'OTHER COSTS'!AB82</f>
        <v>0</v>
      </c>
      <c r="K60" s="103">
        <f>+'OTHER COSTS'!AC82</f>
        <v>0</v>
      </c>
      <c r="L60" s="103">
        <f>+'OTHER COSTS'!AD82</f>
        <v>0</v>
      </c>
      <c r="M60" s="103">
        <f>+'OTHER COSTS'!AE82</f>
        <v>0</v>
      </c>
      <c r="N60" s="103">
        <f>+'OTHER COSTS'!AF82</f>
        <v>0</v>
      </c>
      <c r="O60" s="103">
        <f>+'OTHER COSTS'!AG82</f>
        <v>6</v>
      </c>
      <c r="P60" s="103">
        <f>+'OTHER COSTS'!AH82</f>
        <v>0</v>
      </c>
      <c r="Q60" s="103">
        <f>+'OTHER COSTS'!AI82</f>
        <v>0</v>
      </c>
      <c r="R60" s="103">
        <f>+'OTHER COSTS'!AJ82</f>
        <v>0</v>
      </c>
      <c r="S60" s="103">
        <f>+'OTHER COSTS'!AK82</f>
        <v>0</v>
      </c>
      <c r="T60" s="69"/>
      <c r="U60" s="69"/>
      <c r="W60" s="69"/>
      <c r="X60" s="69"/>
      <c r="Y60" s="69"/>
      <c r="Z60" s="69"/>
      <c r="AA60" s="69"/>
      <c r="AB60" s="69"/>
      <c r="AC60" s="69"/>
      <c r="AD60" s="69"/>
      <c r="AE60" s="69"/>
    </row>
    <row r="61" spans="1:31" s="48" customFormat="1">
      <c r="A61" s="92" t="s">
        <v>44</v>
      </c>
      <c r="B61" s="72">
        <f>SUM(B57:B60)</f>
        <v>0</v>
      </c>
      <c r="C61" s="47">
        <f>SUM(C57:C60)</f>
        <v>32</v>
      </c>
      <c r="D61" s="47">
        <f>SUM(D57:D60)</f>
        <v>0</v>
      </c>
      <c r="E61" s="47">
        <f>SUM(E57:E60)</f>
        <v>0</v>
      </c>
      <c r="F61" s="47">
        <f t="shared" ref="F61:S61" si="45">SUM(F57:F60)</f>
        <v>0</v>
      </c>
      <c r="G61" s="47">
        <f t="shared" si="45"/>
        <v>38.380000000000003</v>
      </c>
      <c r="H61" s="47">
        <f t="shared" si="45"/>
        <v>0</v>
      </c>
      <c r="I61" s="47">
        <f t="shared" si="45"/>
        <v>0</v>
      </c>
      <c r="J61" s="47">
        <f t="shared" si="45"/>
        <v>0</v>
      </c>
      <c r="K61" s="47">
        <f t="shared" si="45"/>
        <v>28</v>
      </c>
      <c r="L61" s="47">
        <f t="shared" si="45"/>
        <v>245.87</v>
      </c>
      <c r="M61" s="47">
        <f t="shared" si="45"/>
        <v>0</v>
      </c>
      <c r="N61" s="47">
        <f t="shared" si="45"/>
        <v>0</v>
      </c>
      <c r="O61" s="47">
        <f t="shared" si="45"/>
        <v>33</v>
      </c>
      <c r="P61" s="47">
        <f t="shared" si="45"/>
        <v>0</v>
      </c>
      <c r="Q61" s="47">
        <f t="shared" si="45"/>
        <v>219.26999999999998</v>
      </c>
      <c r="R61" s="47">
        <f t="shared" si="45"/>
        <v>0</v>
      </c>
      <c r="S61" s="47">
        <f t="shared" si="45"/>
        <v>0</v>
      </c>
      <c r="T61" s="69"/>
      <c r="U61" s="69"/>
      <c r="W61" s="69"/>
      <c r="X61" s="69"/>
      <c r="Y61" s="69"/>
      <c r="Z61" s="69"/>
      <c r="AA61" s="69"/>
      <c r="AB61" s="69"/>
      <c r="AC61" s="69"/>
      <c r="AD61" s="69"/>
      <c r="AE61" s="69"/>
    </row>
    <row r="62" spans="1:31" s="48" customFormat="1" ht="7.5" thickBot="1">
      <c r="A62" s="93" t="s">
        <v>90</v>
      </c>
      <c r="B62" s="365"/>
      <c r="C62" s="359">
        <v>30</v>
      </c>
      <c r="D62" s="359"/>
      <c r="E62" s="359"/>
      <c r="F62" s="359"/>
      <c r="G62" s="359">
        <v>28</v>
      </c>
      <c r="H62" s="359"/>
      <c r="I62" s="359"/>
      <c r="J62" s="359"/>
      <c r="K62" s="359"/>
      <c r="L62" s="359">
        <v>34</v>
      </c>
      <c r="M62" s="359">
        <v>35.65</v>
      </c>
      <c r="N62" s="359"/>
      <c r="O62" s="359">
        <v>20</v>
      </c>
      <c r="P62" s="359"/>
      <c r="Q62" s="359">
        <v>75</v>
      </c>
      <c r="R62" s="359"/>
      <c r="S62" s="359"/>
      <c r="T62" s="69"/>
      <c r="U62" s="69"/>
      <c r="W62" s="69"/>
      <c r="X62" s="69"/>
      <c r="Y62" s="69"/>
      <c r="Z62" s="69"/>
      <c r="AA62" s="69"/>
      <c r="AB62" s="69"/>
      <c r="AC62" s="69"/>
      <c r="AD62" s="69"/>
      <c r="AE62" s="69"/>
    </row>
    <row r="63" spans="1:31" s="48" customFormat="1" ht="11.5" thickTop="1" thickBot="1">
      <c r="A63" s="94" t="s">
        <v>76</v>
      </c>
      <c r="B63" s="114"/>
      <c r="C63" s="81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549" t="s">
        <v>193</v>
      </c>
      <c r="R63" s="114"/>
      <c r="S63" s="114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</row>
    <row r="64" spans="1:31" s="48" customFormat="1" ht="7.5" thickTop="1">
      <c r="A64" s="52" t="s">
        <v>49</v>
      </c>
      <c r="B64" s="73">
        <f>MAINTENANCE!U62</f>
        <v>0</v>
      </c>
      <c r="C64" s="73">
        <f>MAINTENANCE!V62</f>
        <v>132.42000000000002</v>
      </c>
      <c r="D64" s="73">
        <f>MAINTENANCE!W62</f>
        <v>0</v>
      </c>
      <c r="E64" s="73">
        <f>MAINTENANCE!X62</f>
        <v>0</v>
      </c>
      <c r="F64" s="73">
        <f>MAINTENANCE!Y62</f>
        <v>0</v>
      </c>
      <c r="G64" s="73">
        <f>MAINTENANCE!Z62</f>
        <v>0</v>
      </c>
      <c r="H64" s="73">
        <f>MAINTENANCE!AA62</f>
        <v>0</v>
      </c>
      <c r="I64" s="73">
        <f>MAINTENANCE!AB62</f>
        <v>0</v>
      </c>
      <c r="J64" s="73">
        <f>MAINTENANCE!AC62</f>
        <v>0</v>
      </c>
      <c r="K64" s="73">
        <f>MAINTENANCE!AD62</f>
        <v>113.73</v>
      </c>
      <c r="L64" s="73">
        <f>MAINTENANCE!AE62</f>
        <v>0</v>
      </c>
      <c r="M64" s="73">
        <f>MAINTENANCE!AF62</f>
        <v>0</v>
      </c>
      <c r="N64" s="73">
        <f>MAINTENANCE!AG62</f>
        <v>0</v>
      </c>
      <c r="O64" s="73">
        <f>MAINTENANCE!AH62</f>
        <v>0</v>
      </c>
      <c r="P64" s="73">
        <f>MAINTENANCE!AI62</f>
        <v>0</v>
      </c>
      <c r="Q64" s="73">
        <f>MAINTENANCE!AJ62</f>
        <v>0</v>
      </c>
      <c r="R64" s="73">
        <f>MAINTENANCE!AK62</f>
        <v>0</v>
      </c>
      <c r="S64" s="73">
        <f>MAINTENANCE!AL62</f>
        <v>0</v>
      </c>
      <c r="T64" s="69"/>
      <c r="U64" s="69"/>
      <c r="W64" s="69"/>
      <c r="X64" s="69"/>
      <c r="Y64" s="69"/>
      <c r="Z64" s="69"/>
      <c r="AA64" s="69"/>
      <c r="AB64" s="69"/>
      <c r="AC64" s="69"/>
      <c r="AD64" s="69"/>
      <c r="AE64" s="69"/>
    </row>
    <row r="65" spans="1:31" s="48" customFormat="1">
      <c r="A65" s="55" t="s">
        <v>133</v>
      </c>
      <c r="B65" s="71">
        <f>'OTHER COSTS'!T41+'OTHER COSTS'!T48</f>
        <v>0</v>
      </c>
      <c r="C65" s="71">
        <f>'OTHER COSTS'!U41+'OTHER COSTS'!U48</f>
        <v>95</v>
      </c>
      <c r="D65" s="71">
        <f>'OTHER COSTS'!V41+'OTHER COSTS'!V48</f>
        <v>0</v>
      </c>
      <c r="E65" s="71">
        <f>'OTHER COSTS'!W41+'OTHER COSTS'!W48</f>
        <v>0</v>
      </c>
      <c r="F65" s="71">
        <f>'OTHER COSTS'!X41+'OTHER COSTS'!X48</f>
        <v>0</v>
      </c>
      <c r="G65" s="71">
        <f>'OTHER COSTS'!Y41+'OTHER COSTS'!Y48</f>
        <v>0</v>
      </c>
      <c r="H65" s="71">
        <f>'OTHER COSTS'!Z41+'OTHER COSTS'!Z48</f>
        <v>0</v>
      </c>
      <c r="I65" s="71">
        <f>'OTHER COSTS'!AA41+'OTHER COSTS'!AA48</f>
        <v>0</v>
      </c>
      <c r="J65" s="71">
        <f>'OTHER COSTS'!AB41+'OTHER COSTS'!AB48</f>
        <v>0</v>
      </c>
      <c r="K65" s="71">
        <f>'OTHER COSTS'!AC41+'OTHER COSTS'!AC48</f>
        <v>0</v>
      </c>
      <c r="L65" s="71">
        <f>'OTHER COSTS'!AD41+'OTHER COSTS'!AD48</f>
        <v>0</v>
      </c>
      <c r="M65" s="71">
        <f>'OTHER COSTS'!AE41+'OTHER COSTS'!AE48</f>
        <v>0</v>
      </c>
      <c r="N65" s="71">
        <f>'OTHER COSTS'!AF41+'OTHER COSTS'!AF48</f>
        <v>0</v>
      </c>
      <c r="O65" s="71">
        <f>'OTHER COSTS'!AG41+'OTHER COSTS'!AG48</f>
        <v>0</v>
      </c>
      <c r="P65" s="71">
        <f>'OTHER COSTS'!AH41+'OTHER COSTS'!AH48</f>
        <v>0</v>
      </c>
      <c r="Q65" s="71">
        <f>'OTHER COSTS'!AI41+'OTHER COSTS'!AI48</f>
        <v>0</v>
      </c>
      <c r="R65" s="71">
        <f>'OTHER COSTS'!AJ41+'OTHER COSTS'!AJ48</f>
        <v>0</v>
      </c>
      <c r="S65" s="71">
        <f>'OTHER COSTS'!AK41+'OTHER COSTS'!AK48</f>
        <v>0</v>
      </c>
      <c r="T65" s="69"/>
      <c r="U65" s="69"/>
      <c r="W65" s="69"/>
      <c r="X65" s="69"/>
      <c r="Y65" s="69"/>
      <c r="Z65" s="69"/>
      <c r="AA65" s="69"/>
      <c r="AB65" s="69"/>
      <c r="AC65" s="69"/>
      <c r="AD65" s="69"/>
      <c r="AE65" s="69"/>
    </row>
    <row r="66" spans="1:31" s="48" customFormat="1">
      <c r="A66" s="55" t="s">
        <v>81</v>
      </c>
      <c r="B66" s="71">
        <f>'OTHER COSTS'!T59</f>
        <v>0</v>
      </c>
      <c r="C66" s="71">
        <f>'OTHER COSTS'!U59</f>
        <v>0</v>
      </c>
      <c r="D66" s="71">
        <f>'OTHER COSTS'!V59</f>
        <v>0</v>
      </c>
      <c r="E66" s="71">
        <f>'OTHER COSTS'!W59</f>
        <v>0</v>
      </c>
      <c r="F66" s="71">
        <f>'OTHER COSTS'!X59</f>
        <v>0</v>
      </c>
      <c r="G66" s="71">
        <f>'OTHER COSTS'!Y59</f>
        <v>0</v>
      </c>
      <c r="H66" s="71">
        <f>'OTHER COSTS'!Z59</f>
        <v>0</v>
      </c>
      <c r="I66" s="71">
        <f>'OTHER COSTS'!AA59</f>
        <v>0</v>
      </c>
      <c r="J66" s="71">
        <f>'OTHER COSTS'!AB59</f>
        <v>0</v>
      </c>
      <c r="K66" s="71">
        <f>'OTHER COSTS'!AC59</f>
        <v>0</v>
      </c>
      <c r="L66" s="71">
        <f>'OTHER COSTS'!AD59</f>
        <v>0</v>
      </c>
      <c r="M66" s="71">
        <f>'OTHER COSTS'!AE59</f>
        <v>0</v>
      </c>
      <c r="N66" s="71">
        <f>'OTHER COSTS'!AF59</f>
        <v>0</v>
      </c>
      <c r="O66" s="71">
        <f>'OTHER COSTS'!AG59</f>
        <v>0</v>
      </c>
      <c r="P66" s="71">
        <f>'OTHER COSTS'!AH59</f>
        <v>0</v>
      </c>
      <c r="Q66" s="71">
        <f>'OTHER COSTS'!AI59</f>
        <v>0</v>
      </c>
      <c r="R66" s="71">
        <f>'OTHER COSTS'!AJ59</f>
        <v>0</v>
      </c>
      <c r="S66" s="71">
        <f>'OTHER COSTS'!AK59</f>
        <v>0</v>
      </c>
      <c r="T66" s="69"/>
      <c r="U66" s="69"/>
      <c r="W66" s="69"/>
      <c r="X66" s="69"/>
      <c r="Y66" s="69"/>
      <c r="Z66" s="69"/>
      <c r="AA66" s="69"/>
      <c r="AB66" s="69"/>
      <c r="AC66" s="69"/>
      <c r="AD66" s="69"/>
      <c r="AE66" s="69"/>
    </row>
    <row r="67" spans="1:31" s="48" customFormat="1" ht="9" customHeight="1">
      <c r="A67" s="57" t="s">
        <v>51</v>
      </c>
      <c r="B67" s="361"/>
      <c r="C67" s="360">
        <v>75</v>
      </c>
      <c r="D67" s="360"/>
      <c r="E67" s="360"/>
      <c r="F67" s="360"/>
      <c r="G67" s="360"/>
      <c r="H67" s="360"/>
      <c r="I67" s="360"/>
      <c r="J67" s="360"/>
      <c r="K67" s="360"/>
      <c r="L67" s="360"/>
      <c r="M67" s="360"/>
      <c r="N67" s="360"/>
      <c r="O67" s="360"/>
      <c r="P67" s="360"/>
      <c r="Q67" s="360"/>
      <c r="R67" s="360"/>
      <c r="S67" s="360"/>
      <c r="T67" s="69"/>
      <c r="U67" s="69"/>
      <c r="W67" s="69"/>
      <c r="X67" s="69"/>
      <c r="Y67" s="69"/>
      <c r="Z67" s="69"/>
      <c r="AA67" s="69"/>
      <c r="AB67" s="69"/>
      <c r="AC67" s="69"/>
      <c r="AD67" s="69"/>
      <c r="AE67" s="69"/>
    </row>
    <row r="68" spans="1:31" s="48" customFormat="1" ht="7.5" thickBot="1">
      <c r="A68" s="92" t="s">
        <v>77</v>
      </c>
      <c r="B68" s="72">
        <f>SUM(B64:B67)</f>
        <v>0</v>
      </c>
      <c r="C68" s="47">
        <f>SUM(C64:C67)</f>
        <v>302.42</v>
      </c>
      <c r="D68" s="47">
        <f>SUM(D64:D67)</f>
        <v>0</v>
      </c>
      <c r="E68" s="47">
        <f>SUM(E64:E67)</f>
        <v>0</v>
      </c>
      <c r="F68" s="47">
        <f t="shared" ref="F68:S68" si="46">SUM(F64:F67)</f>
        <v>0</v>
      </c>
      <c r="G68" s="47">
        <f t="shared" si="46"/>
        <v>0</v>
      </c>
      <c r="H68" s="47">
        <f t="shared" si="46"/>
        <v>0</v>
      </c>
      <c r="I68" s="47">
        <f t="shared" si="46"/>
        <v>0</v>
      </c>
      <c r="J68" s="47">
        <f t="shared" si="46"/>
        <v>0</v>
      </c>
      <c r="K68" s="47">
        <f t="shared" si="46"/>
        <v>113.73</v>
      </c>
      <c r="L68" s="47">
        <f t="shared" si="46"/>
        <v>0</v>
      </c>
      <c r="M68" s="47">
        <f t="shared" si="46"/>
        <v>0</v>
      </c>
      <c r="N68" s="47">
        <f t="shared" si="46"/>
        <v>0</v>
      </c>
      <c r="O68" s="47">
        <f t="shared" si="46"/>
        <v>0</v>
      </c>
      <c r="P68" s="47">
        <f t="shared" si="46"/>
        <v>0</v>
      </c>
      <c r="Q68" s="47">
        <f t="shared" si="46"/>
        <v>0</v>
      </c>
      <c r="R68" s="835" t="s">
        <v>193</v>
      </c>
      <c r="S68" s="47">
        <f t="shared" si="46"/>
        <v>0</v>
      </c>
      <c r="T68" s="69"/>
      <c r="U68" s="69"/>
      <c r="W68" s="69"/>
      <c r="X68" s="69"/>
      <c r="Y68" s="69"/>
      <c r="Z68" s="69"/>
      <c r="AA68" s="69"/>
      <c r="AB68" s="69"/>
      <c r="AC68" s="69"/>
      <c r="AD68" s="69"/>
      <c r="AE68" s="69"/>
    </row>
    <row r="69" spans="1:31" s="48" customFormat="1" ht="11.5" thickTop="1" thickBot="1">
      <c r="A69" s="302" t="s">
        <v>55</v>
      </c>
      <c r="B69" s="73">
        <f>SUM(B62:B67)+B61</f>
        <v>0</v>
      </c>
      <c r="C69" s="85">
        <f>SUM(C62:C67)+C61</f>
        <v>364.42</v>
      </c>
      <c r="D69" s="85">
        <f>SUM(D62:D67)+D61</f>
        <v>0</v>
      </c>
      <c r="E69" s="85">
        <f>SUM(E62:E67)+E61</f>
        <v>0</v>
      </c>
      <c r="F69" s="85">
        <f t="shared" ref="F69:S69" si="47">SUM(F62:F67)+F61</f>
        <v>0</v>
      </c>
      <c r="G69" s="85">
        <f t="shared" si="47"/>
        <v>66.38</v>
      </c>
      <c r="H69" s="85">
        <f t="shared" si="47"/>
        <v>0</v>
      </c>
      <c r="I69" s="85">
        <f t="shared" si="47"/>
        <v>0</v>
      </c>
      <c r="J69" s="85">
        <f t="shared" si="47"/>
        <v>0</v>
      </c>
      <c r="K69" s="85">
        <f t="shared" si="47"/>
        <v>141.73000000000002</v>
      </c>
      <c r="L69" s="85">
        <f t="shared" si="47"/>
        <v>279.87</v>
      </c>
      <c r="M69" s="85">
        <f t="shared" si="47"/>
        <v>35.65</v>
      </c>
      <c r="N69" s="85">
        <f t="shared" si="47"/>
        <v>0</v>
      </c>
      <c r="O69" s="85">
        <f t="shared" si="47"/>
        <v>53</v>
      </c>
      <c r="P69" s="85">
        <f t="shared" si="47"/>
        <v>0</v>
      </c>
      <c r="Q69" s="85">
        <f t="shared" si="47"/>
        <v>294.27</v>
      </c>
      <c r="R69" s="85">
        <f t="shared" si="47"/>
        <v>0</v>
      </c>
      <c r="S69" s="85">
        <f t="shared" si="47"/>
        <v>0</v>
      </c>
      <c r="T69" s="69"/>
      <c r="U69" s="69"/>
      <c r="W69" s="69"/>
      <c r="X69" s="69"/>
      <c r="Y69" s="69"/>
      <c r="Z69" s="69"/>
      <c r="AA69" s="69"/>
      <c r="AB69" s="69"/>
      <c r="AC69" s="69"/>
      <c r="AD69" s="69"/>
      <c r="AE69" s="69"/>
    </row>
    <row r="70" spans="1:31" s="48" customFormat="1" ht="8" thickTop="1" thickBot="1">
      <c r="A70" s="306" t="s">
        <v>139</v>
      </c>
      <c r="B70" s="307">
        <f>B55-B69</f>
        <v>0</v>
      </c>
      <c r="C70" s="307">
        <f>C55-C69</f>
        <v>-99.420000000000016</v>
      </c>
      <c r="D70" s="307">
        <f>D55-D69</f>
        <v>0</v>
      </c>
      <c r="E70" s="307">
        <f>E55-E69</f>
        <v>0</v>
      </c>
      <c r="F70" s="307">
        <f t="shared" ref="F70:S70" si="48">F55-F69</f>
        <v>0</v>
      </c>
      <c r="G70" s="307">
        <f t="shared" si="48"/>
        <v>318.62</v>
      </c>
      <c r="H70" s="307">
        <f t="shared" si="48"/>
        <v>0</v>
      </c>
      <c r="I70" s="307">
        <f t="shared" si="48"/>
        <v>0</v>
      </c>
      <c r="J70" s="307">
        <f t="shared" si="48"/>
        <v>0</v>
      </c>
      <c r="K70" s="307">
        <f t="shared" si="48"/>
        <v>88.269999999999982</v>
      </c>
      <c r="L70" s="307">
        <f t="shared" si="48"/>
        <v>50.129999999999995</v>
      </c>
      <c r="M70" s="307">
        <f t="shared" si="48"/>
        <v>249.35</v>
      </c>
      <c r="N70" s="307">
        <f t="shared" si="48"/>
        <v>0</v>
      </c>
      <c r="O70" s="307">
        <f t="shared" si="48"/>
        <v>177</v>
      </c>
      <c r="P70" s="307">
        <f t="shared" si="48"/>
        <v>175</v>
      </c>
      <c r="Q70" s="307">
        <f t="shared" si="48"/>
        <v>70.730000000000018</v>
      </c>
      <c r="R70" s="307">
        <f t="shared" si="48"/>
        <v>0</v>
      </c>
      <c r="S70" s="307">
        <f t="shared" si="48"/>
        <v>0</v>
      </c>
      <c r="T70" s="69"/>
      <c r="U70" s="69"/>
      <c r="W70" s="69"/>
      <c r="X70" s="69"/>
      <c r="Y70" s="69"/>
      <c r="Z70" s="69"/>
      <c r="AA70" s="69"/>
      <c r="AB70" s="69"/>
      <c r="AC70" s="69"/>
      <c r="AD70" s="69"/>
      <c r="AE70" s="69"/>
    </row>
    <row r="71" spans="1:31" s="227" customFormat="1" ht="8" thickTop="1" thickBot="1">
      <c r="A71" s="96" t="s">
        <v>138</v>
      </c>
      <c r="B71" s="363" t="str">
        <f t="shared" ref="B71:S71" si="49">IF(B70=0,"","post bal.")</f>
        <v/>
      </c>
      <c r="C71" s="363" t="s">
        <v>252</v>
      </c>
      <c r="D71" s="363" t="str">
        <f t="shared" si="49"/>
        <v/>
      </c>
      <c r="E71" s="363" t="str">
        <f t="shared" si="49"/>
        <v/>
      </c>
      <c r="F71" s="363" t="str">
        <f t="shared" si="49"/>
        <v/>
      </c>
      <c r="G71" s="363" t="s">
        <v>252</v>
      </c>
      <c r="H71" s="363" t="str">
        <f t="shared" si="49"/>
        <v/>
      </c>
      <c r="I71" s="363" t="str">
        <f t="shared" si="49"/>
        <v/>
      </c>
      <c r="J71" s="363" t="str">
        <f t="shared" si="49"/>
        <v/>
      </c>
      <c r="K71" s="363" t="s">
        <v>252</v>
      </c>
      <c r="L71" s="363" t="s">
        <v>253</v>
      </c>
      <c r="M71" s="363" t="s">
        <v>253</v>
      </c>
      <c r="N71" s="363" t="str">
        <f t="shared" si="49"/>
        <v/>
      </c>
      <c r="O71" s="363" t="s">
        <v>252</v>
      </c>
      <c r="P71" s="363" t="s">
        <v>253</v>
      </c>
      <c r="Q71" s="363" t="s">
        <v>252</v>
      </c>
      <c r="R71" s="363" t="str">
        <f t="shared" si="49"/>
        <v/>
      </c>
      <c r="S71" s="363" t="str">
        <f t="shared" si="49"/>
        <v/>
      </c>
      <c r="T71" s="209"/>
      <c r="U71" s="209"/>
      <c r="W71" s="226"/>
      <c r="X71" s="226"/>
      <c r="Y71" s="226"/>
      <c r="Z71" s="226"/>
      <c r="AA71" s="226"/>
      <c r="AB71" s="226"/>
      <c r="AC71" s="226"/>
      <c r="AD71" s="226"/>
      <c r="AE71" s="226"/>
    </row>
    <row r="72" spans="1:31" s="273" customFormat="1" ht="7.5" hidden="1" thickTop="1">
      <c r="A72" s="267" t="s">
        <v>124</v>
      </c>
      <c r="B72" s="270">
        <f>IF(B71="post bal.",B70,0)</f>
        <v>0</v>
      </c>
      <c r="C72" s="270">
        <f t="shared" ref="C72:J72" si="50">IF(C71="post bal.",C70,0)</f>
        <v>0</v>
      </c>
      <c r="D72" s="270">
        <f t="shared" si="50"/>
        <v>0</v>
      </c>
      <c r="E72" s="270">
        <f t="shared" si="50"/>
        <v>0</v>
      </c>
      <c r="F72" s="270">
        <f t="shared" si="50"/>
        <v>0</v>
      </c>
      <c r="G72" s="270">
        <f t="shared" si="50"/>
        <v>0</v>
      </c>
      <c r="H72" s="270">
        <f t="shared" si="50"/>
        <v>0</v>
      </c>
      <c r="I72" s="270">
        <f t="shared" si="50"/>
        <v>0</v>
      </c>
      <c r="J72" s="270">
        <f t="shared" si="50"/>
        <v>0</v>
      </c>
      <c r="K72" s="270">
        <f t="shared" ref="K72:S72" si="51">IF(K71="post bal.",K70,0)</f>
        <v>0</v>
      </c>
      <c r="L72" s="270">
        <f t="shared" si="51"/>
        <v>0</v>
      </c>
      <c r="M72" s="270">
        <f t="shared" si="51"/>
        <v>0</v>
      </c>
      <c r="N72" s="270">
        <f t="shared" si="51"/>
        <v>0</v>
      </c>
      <c r="O72" s="270">
        <f t="shared" si="51"/>
        <v>0</v>
      </c>
      <c r="P72" s="270">
        <f t="shared" si="51"/>
        <v>0</v>
      </c>
      <c r="Q72" s="270">
        <f t="shared" si="51"/>
        <v>0</v>
      </c>
      <c r="R72" s="270">
        <f t="shared" si="51"/>
        <v>0</v>
      </c>
      <c r="S72" s="270">
        <f t="shared" si="51"/>
        <v>0</v>
      </c>
      <c r="T72" s="270">
        <f>IF(T71="post bal.",T69,0)</f>
        <v>0</v>
      </c>
      <c r="U72" s="270">
        <f>IF(U71="post bal.",U69,0)</f>
        <v>0</v>
      </c>
      <c r="W72" s="274"/>
      <c r="X72" s="274"/>
      <c r="Y72" s="274"/>
      <c r="Z72" s="274"/>
      <c r="AA72" s="274"/>
      <c r="AB72" s="274"/>
      <c r="AC72" s="274"/>
      <c r="AD72" s="274"/>
      <c r="AE72" s="274"/>
    </row>
    <row r="73" spans="1:31" s="268" customFormat="1" hidden="1">
      <c r="A73" s="272" t="s">
        <v>125</v>
      </c>
      <c r="B73" s="268">
        <f t="shared" ref="B73:J73" si="52">IF(B42="Insurance",B67,0)</f>
        <v>0</v>
      </c>
      <c r="C73" s="268">
        <f t="shared" si="52"/>
        <v>0</v>
      </c>
      <c r="D73" s="268">
        <f t="shared" si="52"/>
        <v>0</v>
      </c>
      <c r="E73" s="268">
        <f t="shared" si="52"/>
        <v>0</v>
      </c>
      <c r="F73" s="268">
        <f t="shared" si="52"/>
        <v>0</v>
      </c>
      <c r="G73" s="268">
        <f t="shared" si="52"/>
        <v>0</v>
      </c>
      <c r="H73" s="268">
        <f>IF(H42="Insurance",H67,0)</f>
        <v>0</v>
      </c>
      <c r="I73" s="268">
        <f t="shared" si="52"/>
        <v>0</v>
      </c>
      <c r="J73" s="268">
        <f t="shared" si="52"/>
        <v>0</v>
      </c>
      <c r="K73" s="268">
        <f t="shared" ref="K73:S73" si="53">IF(K42="Insurance",K67,0)</f>
        <v>0</v>
      </c>
      <c r="L73" s="268">
        <f t="shared" si="53"/>
        <v>0</v>
      </c>
      <c r="M73" s="268">
        <f t="shared" si="53"/>
        <v>0</v>
      </c>
      <c r="N73" s="268">
        <f t="shared" si="53"/>
        <v>0</v>
      </c>
      <c r="O73" s="268">
        <f t="shared" si="53"/>
        <v>0</v>
      </c>
      <c r="P73" s="268">
        <f t="shared" si="53"/>
        <v>0</v>
      </c>
      <c r="Q73" s="268">
        <f t="shared" si="53"/>
        <v>0</v>
      </c>
      <c r="R73" s="268">
        <f t="shared" si="53"/>
        <v>0</v>
      </c>
      <c r="S73" s="268">
        <f t="shared" si="53"/>
        <v>0</v>
      </c>
      <c r="W73" s="269"/>
      <c r="X73" s="269"/>
      <c r="Y73" s="269"/>
      <c r="Z73" s="269"/>
      <c r="AA73" s="269"/>
      <c r="AB73" s="269"/>
      <c r="AC73" s="269"/>
      <c r="AD73" s="269"/>
      <c r="AE73" s="269"/>
    </row>
    <row r="74" spans="1:31" s="268" customFormat="1" hidden="1">
      <c r="A74" s="272" t="s">
        <v>126</v>
      </c>
      <c r="B74" s="268">
        <f t="shared" ref="B74:J74" si="54">IF(B42="Mooring",B68,0)</f>
        <v>0</v>
      </c>
      <c r="C74" s="268">
        <f t="shared" si="54"/>
        <v>0</v>
      </c>
      <c r="D74" s="268">
        <f t="shared" si="54"/>
        <v>0</v>
      </c>
      <c r="E74" s="268">
        <f t="shared" si="54"/>
        <v>0</v>
      </c>
      <c r="F74" s="268">
        <f t="shared" si="54"/>
        <v>0</v>
      </c>
      <c r="G74" s="268">
        <f t="shared" si="54"/>
        <v>0</v>
      </c>
      <c r="H74" s="268">
        <f>IF(H42="Mooring",H68,0)</f>
        <v>0</v>
      </c>
      <c r="I74" s="268">
        <f t="shared" si="54"/>
        <v>0</v>
      </c>
      <c r="J74" s="268">
        <f t="shared" si="54"/>
        <v>0</v>
      </c>
      <c r="K74" s="268">
        <f t="shared" ref="K74:S74" si="55">IF(K42="Mooring",K68,0)</f>
        <v>0</v>
      </c>
      <c r="L74" s="268">
        <f t="shared" si="55"/>
        <v>0</v>
      </c>
      <c r="M74" s="268">
        <f t="shared" si="55"/>
        <v>0</v>
      </c>
      <c r="N74" s="268">
        <f t="shared" si="55"/>
        <v>0</v>
      </c>
      <c r="O74" s="268">
        <f t="shared" si="55"/>
        <v>0</v>
      </c>
      <c r="P74" s="268">
        <f t="shared" si="55"/>
        <v>0</v>
      </c>
      <c r="Q74" s="268">
        <f t="shared" si="55"/>
        <v>0</v>
      </c>
      <c r="R74" s="268">
        <f t="shared" si="55"/>
        <v>0</v>
      </c>
      <c r="S74" s="268">
        <f t="shared" si="55"/>
        <v>0</v>
      </c>
      <c r="W74" s="269"/>
      <c r="X74" s="269"/>
      <c r="Y74" s="269"/>
      <c r="Z74" s="269"/>
      <c r="AA74" s="269"/>
      <c r="AB74" s="269"/>
      <c r="AC74" s="269"/>
      <c r="AD74" s="269"/>
      <c r="AE74" s="269"/>
    </row>
    <row r="75" spans="1:31" s="268" customFormat="1" hidden="1">
      <c r="A75" s="272" t="s">
        <v>127</v>
      </c>
      <c r="B75" s="268">
        <f t="shared" ref="B75:J75" si="56">IF(B42="Licence",B69,0)</f>
        <v>0</v>
      </c>
      <c r="C75" s="268">
        <f t="shared" si="56"/>
        <v>0</v>
      </c>
      <c r="D75" s="268">
        <f t="shared" si="56"/>
        <v>0</v>
      </c>
      <c r="E75" s="268">
        <f t="shared" si="56"/>
        <v>0</v>
      </c>
      <c r="F75" s="268">
        <f t="shared" si="56"/>
        <v>0</v>
      </c>
      <c r="G75" s="268">
        <f t="shared" si="56"/>
        <v>0</v>
      </c>
      <c r="H75" s="268">
        <f>IF(H42="Licence",H69,0)</f>
        <v>0</v>
      </c>
      <c r="I75" s="268">
        <f t="shared" si="56"/>
        <v>0</v>
      </c>
      <c r="J75" s="268">
        <f t="shared" si="56"/>
        <v>0</v>
      </c>
      <c r="K75" s="268">
        <f t="shared" ref="K75:S75" si="57">IF(K42="Licence",K69,0)</f>
        <v>0</v>
      </c>
      <c r="L75" s="268">
        <f t="shared" si="57"/>
        <v>0</v>
      </c>
      <c r="M75" s="268">
        <f t="shared" si="57"/>
        <v>0</v>
      </c>
      <c r="N75" s="268">
        <f t="shared" si="57"/>
        <v>0</v>
      </c>
      <c r="O75" s="268">
        <f t="shared" si="57"/>
        <v>0</v>
      </c>
      <c r="P75" s="268">
        <f t="shared" si="57"/>
        <v>0</v>
      </c>
      <c r="Q75" s="268">
        <f t="shared" si="57"/>
        <v>0</v>
      </c>
      <c r="R75" s="268">
        <f t="shared" si="57"/>
        <v>0</v>
      </c>
      <c r="S75" s="268">
        <f t="shared" si="57"/>
        <v>0</v>
      </c>
      <c r="W75" s="269"/>
      <c r="X75" s="269"/>
      <c r="Y75" s="269"/>
      <c r="Z75" s="269"/>
      <c r="AA75" s="269"/>
      <c r="AB75" s="269"/>
      <c r="AC75" s="269"/>
      <c r="AD75" s="269"/>
      <c r="AE75" s="269"/>
    </row>
    <row r="76" spans="1:31" s="281" customFormat="1" ht="7.5" hidden="1" thickBot="1">
      <c r="A76" s="280" t="s">
        <v>128</v>
      </c>
      <c r="B76" s="281">
        <f t="shared" ref="B76:K76" si="58">B67-SUM(B73:B75)</f>
        <v>0</v>
      </c>
      <c r="C76" s="281">
        <f t="shared" si="58"/>
        <v>75</v>
      </c>
      <c r="D76" s="281">
        <f t="shared" si="58"/>
        <v>0</v>
      </c>
      <c r="E76" s="281">
        <f t="shared" si="58"/>
        <v>0</v>
      </c>
      <c r="F76" s="281">
        <f t="shared" si="58"/>
        <v>0</v>
      </c>
      <c r="G76" s="281">
        <f t="shared" si="58"/>
        <v>0</v>
      </c>
      <c r="H76" s="281">
        <f t="shared" si="58"/>
        <v>0</v>
      </c>
      <c r="I76" s="281">
        <f t="shared" si="58"/>
        <v>0</v>
      </c>
      <c r="J76" s="281">
        <f t="shared" si="58"/>
        <v>0</v>
      </c>
      <c r="K76" s="281">
        <f t="shared" si="58"/>
        <v>0</v>
      </c>
      <c r="L76" s="281">
        <f t="shared" ref="L76:S76" si="59">L67-SUM(L73:L75)</f>
        <v>0</v>
      </c>
      <c r="M76" s="281">
        <f t="shared" si="59"/>
        <v>0</v>
      </c>
      <c r="N76" s="281">
        <f t="shared" si="59"/>
        <v>0</v>
      </c>
      <c r="O76" s="281">
        <f t="shared" si="59"/>
        <v>0</v>
      </c>
      <c r="P76" s="281">
        <f t="shared" si="59"/>
        <v>0</v>
      </c>
      <c r="Q76" s="281">
        <f t="shared" si="59"/>
        <v>0</v>
      </c>
      <c r="R76" s="281">
        <f t="shared" si="59"/>
        <v>0</v>
      </c>
      <c r="S76" s="281">
        <f t="shared" si="59"/>
        <v>0</v>
      </c>
    </row>
    <row r="77" spans="1:31" s="48" customFormat="1" ht="8" thickTop="1" thickBot="1">
      <c r="K77" s="551"/>
      <c r="W77" s="69"/>
      <c r="X77" s="69"/>
      <c r="Y77" s="69"/>
      <c r="Z77" s="69"/>
      <c r="AA77" s="69"/>
      <c r="AB77" s="69"/>
      <c r="AC77" s="69"/>
      <c r="AD77" s="69"/>
      <c r="AE77" s="69"/>
    </row>
    <row r="78" spans="1:31" s="48" customFormat="1" ht="11.5" thickTop="1" thickBot="1">
      <c r="A78" s="11" t="s">
        <v>159</v>
      </c>
      <c r="W78" s="69"/>
      <c r="X78" s="69"/>
      <c r="Y78" s="69"/>
      <c r="Z78" s="69"/>
      <c r="AA78" s="69"/>
      <c r="AB78" s="69"/>
      <c r="AC78" s="69"/>
      <c r="AD78" s="69"/>
      <c r="AE78" s="69"/>
    </row>
    <row r="79" spans="1:31" s="48" customFormat="1" ht="7.5" thickTop="1">
      <c r="A79" s="87" t="s">
        <v>71</v>
      </c>
      <c r="B79" s="547" t="s">
        <v>180</v>
      </c>
      <c r="C79" s="547" t="s">
        <v>180</v>
      </c>
      <c r="D79" s="547" t="s">
        <v>180</v>
      </c>
      <c r="E79" s="547" t="s">
        <v>180</v>
      </c>
      <c r="F79" s="547" t="s">
        <v>180</v>
      </c>
      <c r="G79" s="547" t="s">
        <v>180</v>
      </c>
      <c r="H79" s="547" t="s">
        <v>67</v>
      </c>
      <c r="I79" s="547" t="s">
        <v>180</v>
      </c>
      <c r="J79" s="547" t="s">
        <v>257</v>
      </c>
      <c r="K79" s="547" t="s">
        <v>180</v>
      </c>
      <c r="L79" s="547" t="s">
        <v>180</v>
      </c>
      <c r="M79" s="547" t="s">
        <v>180</v>
      </c>
      <c r="N79" s="547" t="s">
        <v>180</v>
      </c>
      <c r="O79" s="547" t="s">
        <v>122</v>
      </c>
      <c r="P79" s="547" t="s">
        <v>180</v>
      </c>
      <c r="Q79" s="547" t="s">
        <v>180</v>
      </c>
      <c r="R79" s="547" t="s">
        <v>180</v>
      </c>
      <c r="S79" s="547" t="s">
        <v>259</v>
      </c>
      <c r="T79" s="69"/>
      <c r="W79" s="69"/>
      <c r="X79" s="69"/>
      <c r="Y79" s="69"/>
      <c r="Z79" s="69"/>
      <c r="AA79" s="69"/>
      <c r="AB79" s="69"/>
      <c r="AC79" s="69"/>
      <c r="AD79" s="69"/>
      <c r="AE79" s="69"/>
    </row>
    <row r="80" spans="1:31" s="48" customFormat="1">
      <c r="A80" s="7" t="s">
        <v>72</v>
      </c>
      <c r="B80" s="244">
        <f>S43+7</f>
        <v>43713</v>
      </c>
      <c r="C80" s="88">
        <f t="shared" ref="C80:R80" si="60">B80+7</f>
        <v>43720</v>
      </c>
      <c r="D80" s="88">
        <f t="shared" si="60"/>
        <v>43727</v>
      </c>
      <c r="E80" s="88">
        <v>43705</v>
      </c>
      <c r="F80" s="88">
        <f t="shared" si="60"/>
        <v>43712</v>
      </c>
      <c r="G80" s="88">
        <f t="shared" si="60"/>
        <v>43719</v>
      </c>
      <c r="H80" s="88">
        <f t="shared" si="60"/>
        <v>43726</v>
      </c>
      <c r="I80" s="88">
        <f t="shared" si="60"/>
        <v>43733</v>
      </c>
      <c r="J80" s="88">
        <f t="shared" si="60"/>
        <v>43740</v>
      </c>
      <c r="K80" s="88">
        <f t="shared" si="60"/>
        <v>43747</v>
      </c>
      <c r="L80" s="88">
        <f t="shared" si="60"/>
        <v>43754</v>
      </c>
      <c r="M80" s="88">
        <f t="shared" si="60"/>
        <v>43761</v>
      </c>
      <c r="N80" s="88">
        <f t="shared" si="60"/>
        <v>43768</v>
      </c>
      <c r="O80" s="88">
        <f t="shared" si="60"/>
        <v>43775</v>
      </c>
      <c r="P80" s="88">
        <f t="shared" si="60"/>
        <v>43782</v>
      </c>
      <c r="Q80" s="88">
        <f t="shared" si="60"/>
        <v>43789</v>
      </c>
      <c r="R80" s="89">
        <f t="shared" si="60"/>
        <v>43796</v>
      </c>
      <c r="S80" s="89">
        <v>43823</v>
      </c>
      <c r="T80" s="69"/>
      <c r="W80" s="69"/>
      <c r="X80" s="69"/>
      <c r="Y80" s="69"/>
      <c r="Z80" s="69"/>
      <c r="AA80" s="69"/>
      <c r="AB80" s="69"/>
      <c r="AC80" s="69"/>
      <c r="AD80" s="69"/>
      <c r="AE80" s="69"/>
    </row>
    <row r="81" spans="1:31" s="48" customFormat="1">
      <c r="A81" s="104" t="s">
        <v>14</v>
      </c>
      <c r="B81" s="343"/>
      <c r="C81" s="343"/>
      <c r="D81" s="343"/>
      <c r="E81" s="836"/>
      <c r="F81" s="343"/>
      <c r="G81" s="343"/>
      <c r="H81" s="343">
        <v>4</v>
      </c>
      <c r="I81" s="343"/>
      <c r="J81" s="343">
        <v>4</v>
      </c>
      <c r="K81" s="343"/>
      <c r="L81" s="343"/>
      <c r="M81" s="343"/>
      <c r="N81" s="343"/>
      <c r="O81" s="343">
        <v>2</v>
      </c>
      <c r="P81" s="343"/>
      <c r="Q81" s="343"/>
      <c r="R81" s="345"/>
      <c r="S81" s="343">
        <v>5</v>
      </c>
      <c r="T81" s="69"/>
      <c r="W81" s="69"/>
      <c r="X81" s="69"/>
      <c r="Y81" s="69"/>
      <c r="Z81" s="69"/>
      <c r="AA81" s="69"/>
      <c r="AB81" s="69"/>
      <c r="AC81" s="69"/>
      <c r="AD81" s="69"/>
      <c r="AE81" s="69"/>
    </row>
    <row r="82" spans="1:31" s="48" customFormat="1" ht="7.5" thickBot="1">
      <c r="A82" s="108" t="s">
        <v>15</v>
      </c>
      <c r="B82" s="343"/>
      <c r="C82" s="346"/>
      <c r="D82" s="346"/>
      <c r="E82" s="346"/>
      <c r="F82" s="346"/>
      <c r="G82" s="346"/>
      <c r="H82" s="346">
        <v>16</v>
      </c>
      <c r="I82" s="346"/>
      <c r="J82" s="346">
        <v>3</v>
      </c>
      <c r="K82" s="346"/>
      <c r="L82" s="346"/>
      <c r="M82" s="346"/>
      <c r="N82" s="346"/>
      <c r="O82" s="346">
        <v>4</v>
      </c>
      <c r="P82" s="346"/>
      <c r="Q82" s="346"/>
      <c r="R82" s="348"/>
      <c r="S82" s="346">
        <v>9</v>
      </c>
      <c r="T82" s="69"/>
      <c r="W82" s="69"/>
      <c r="X82" s="69"/>
      <c r="Y82" s="69"/>
      <c r="Z82" s="69"/>
      <c r="AA82" s="69"/>
      <c r="AB82" s="69"/>
      <c r="AC82" s="69"/>
      <c r="AD82" s="69"/>
      <c r="AE82" s="69"/>
    </row>
    <row r="83" spans="1:31" s="284" customFormat="1" ht="7.5" hidden="1" thickTop="1">
      <c r="A83" s="282" t="s">
        <v>131</v>
      </c>
      <c r="B83" s="309">
        <f>IF(OR(ISTEXT(B80),B80=0),Summary!$E$1-7,B80-MOD(B80-Summary!$E$1,7))</f>
        <v>43713</v>
      </c>
      <c r="C83" s="283">
        <f>IF(OR(ISTEXT(C80),C80=0),Summary!$E$1-7,C80-MOD(C80-Summary!$E$1,7))</f>
        <v>43720</v>
      </c>
      <c r="D83" s="283">
        <f>IF(OR(ISTEXT(D80),D80=0),Summary!$E$1-7,D80-MOD(D80-Summary!$E$1,7))</f>
        <v>43727</v>
      </c>
      <c r="E83" s="283">
        <f>IF(OR(ISTEXT(E80),E80=0),Summary!$E$1-7,E80-MOD(E80-Summary!$E$1,7))</f>
        <v>43699</v>
      </c>
      <c r="F83" s="283">
        <f>IF(OR(ISTEXT(F80),F80=0),Summary!$E$1-7,F80-MOD(F80-Summary!$E$1,7))</f>
        <v>43706</v>
      </c>
      <c r="G83" s="283">
        <f>IF(OR(ISTEXT(G80),G80=0),Summary!$E$1-7,G80-MOD(G80-Summary!$E$1,7))</f>
        <v>43713</v>
      </c>
      <c r="H83" s="283">
        <f>IF(OR(ISTEXT(H80),H80=0),Summary!$E$1-7,H80-MOD(H80-Summary!$E$1,7))</f>
        <v>43720</v>
      </c>
      <c r="I83" s="283">
        <f>IF(OR(ISTEXT(I80),I80=0),Summary!$E$1-7,I80-MOD(I80-Summary!$E$1,7))</f>
        <v>43727</v>
      </c>
      <c r="J83" s="283">
        <f>IF(OR(ISTEXT(J80),J80=0),Summary!$E$1-7,J80-MOD(J80-Summary!$E$1,7))</f>
        <v>43734</v>
      </c>
      <c r="K83" s="283">
        <f>IF(OR(ISTEXT(K80),K80=0),Summary!$E$1-7,K80-MOD(K80-Summary!$E$1,7))</f>
        <v>43741</v>
      </c>
      <c r="L83" s="283">
        <f>IF(OR(ISTEXT(L80),L80=0),Summary!$E$1-7,L80-MOD(L80-Summary!$E$1,7))</f>
        <v>43748</v>
      </c>
      <c r="M83" s="283">
        <f>IF(OR(ISTEXT(M80),M80=0),Summary!$E$1-7,M80-MOD(M80-Summary!$E$1,7))</f>
        <v>43755</v>
      </c>
      <c r="N83" s="283">
        <f>IF(OR(ISTEXT(N80),N80=0),Summary!$E$1-7,N80-MOD(N80-Summary!$E$1,7))</f>
        <v>43762</v>
      </c>
      <c r="O83" s="283">
        <f>IF(OR(ISTEXT(O80),O80=0),Summary!$E$1-7,O80-MOD(O80-Summary!$E$1,7))</f>
        <v>43769</v>
      </c>
      <c r="P83" s="283">
        <f>IF(OR(ISTEXT(P80),P80=0),Summary!$E$1-7,P80-MOD(P80-Summary!$E$1,7))</f>
        <v>43776</v>
      </c>
      <c r="Q83" s="283">
        <f>IF(OR(ISTEXT(Q80),Q80=0),Summary!$E$1-7,Q80-MOD(Q80-Summary!$E$1,7))</f>
        <v>43783</v>
      </c>
      <c r="R83" s="309">
        <f>IF(OR(ISTEXT(R80),R80=0),Summary!$E$1-7,R80-MOD(R80-Summary!$E$1,7))</f>
        <v>43790</v>
      </c>
      <c r="S83" s="283">
        <f>IF(OR(ISTEXT(S80),S80=0),Summary!$E$1-7,S80-MOD(S80-Summary!$E$1,7))</f>
        <v>43818</v>
      </c>
      <c r="T83" s="285"/>
      <c r="W83" s="285"/>
      <c r="X83" s="285"/>
      <c r="Y83" s="285"/>
      <c r="Z83" s="285"/>
      <c r="AA83" s="285"/>
      <c r="AB83" s="285"/>
      <c r="AC83" s="285"/>
      <c r="AD83" s="285"/>
      <c r="AE83" s="285"/>
    </row>
    <row r="84" spans="1:31" s="284" customFormat="1" hidden="1">
      <c r="A84" s="276" t="s">
        <v>147</v>
      </c>
      <c r="B84" s="335" t="b">
        <f t="shared" ref="B84:S84" si="61">OR(ISNUMBER(HLOOKUP(B83,B120:S121,2)),ISNUMBER(HLOOKUP(B83,B161:S162,2)))</f>
        <v>0</v>
      </c>
      <c r="C84" s="337" t="b">
        <f t="shared" si="61"/>
        <v>0</v>
      </c>
      <c r="D84" s="337" t="b">
        <f t="shared" si="61"/>
        <v>0</v>
      </c>
      <c r="E84" s="337" t="b">
        <f t="shared" si="61"/>
        <v>0</v>
      </c>
      <c r="F84" s="337" t="b">
        <f t="shared" si="61"/>
        <v>0</v>
      </c>
      <c r="G84" s="337" t="b">
        <f t="shared" si="61"/>
        <v>0</v>
      </c>
      <c r="H84" s="337" t="b">
        <f t="shared" si="61"/>
        <v>0</v>
      </c>
      <c r="I84" s="337" t="b">
        <f t="shared" si="61"/>
        <v>0</v>
      </c>
      <c r="J84" s="337" t="b">
        <f t="shared" si="61"/>
        <v>0</v>
      </c>
      <c r="K84" s="337" t="b">
        <f t="shared" si="61"/>
        <v>0</v>
      </c>
      <c r="L84" s="337" t="b">
        <f t="shared" si="61"/>
        <v>0</v>
      </c>
      <c r="M84" s="337" t="b">
        <f t="shared" si="61"/>
        <v>0</v>
      </c>
      <c r="N84" s="337" t="b">
        <f t="shared" si="61"/>
        <v>0</v>
      </c>
      <c r="O84" s="337" t="b">
        <f t="shared" si="61"/>
        <v>0</v>
      </c>
      <c r="P84" s="337" t="b">
        <f t="shared" si="61"/>
        <v>0</v>
      </c>
      <c r="Q84" s="337" t="b">
        <f t="shared" si="61"/>
        <v>0</v>
      </c>
      <c r="R84" s="639" t="b">
        <f t="shared" si="61"/>
        <v>0</v>
      </c>
      <c r="S84" s="337" t="b">
        <f t="shared" si="61"/>
        <v>0</v>
      </c>
      <c r="T84" s="285"/>
      <c r="W84" s="285"/>
      <c r="X84" s="285"/>
      <c r="Y84" s="285"/>
      <c r="Z84" s="285"/>
      <c r="AA84" s="285"/>
      <c r="AB84" s="285"/>
      <c r="AC84" s="285"/>
      <c r="AD84" s="285"/>
      <c r="AE84" s="285"/>
    </row>
    <row r="85" spans="1:31" s="284" customFormat="1" hidden="1">
      <c r="A85" s="276" t="s">
        <v>145</v>
      </c>
      <c r="B85" s="335">
        <f>IF(OR(B84,B81=0),0,1)</f>
        <v>0</v>
      </c>
      <c r="C85" s="337">
        <f>IF(OR(C84,C81=0),0,1)</f>
        <v>0</v>
      </c>
      <c r="D85" s="337">
        <f>IF(OR(D84,D81=0),0,1)</f>
        <v>0</v>
      </c>
      <c r="E85" s="337">
        <f>IF(OR(E84,E81=0),0,1)</f>
        <v>0</v>
      </c>
      <c r="F85" s="337">
        <f>IF(OR(F84,F81=0),0,1)</f>
        <v>0</v>
      </c>
      <c r="G85" s="337">
        <f t="shared" ref="G85:S85" si="62">IF(OR(G84,G81=0),0,1)</f>
        <v>0</v>
      </c>
      <c r="H85" s="337">
        <f t="shared" si="62"/>
        <v>1</v>
      </c>
      <c r="I85" s="337">
        <f t="shared" si="62"/>
        <v>0</v>
      </c>
      <c r="J85" s="337">
        <f t="shared" si="62"/>
        <v>1</v>
      </c>
      <c r="K85" s="337">
        <f t="shared" si="62"/>
        <v>0</v>
      </c>
      <c r="L85" s="337">
        <f t="shared" si="62"/>
        <v>0</v>
      </c>
      <c r="M85" s="337">
        <f t="shared" si="62"/>
        <v>0</v>
      </c>
      <c r="N85" s="337">
        <f t="shared" si="62"/>
        <v>0</v>
      </c>
      <c r="O85" s="337">
        <f t="shared" si="62"/>
        <v>1</v>
      </c>
      <c r="P85" s="337">
        <f t="shared" si="62"/>
        <v>0</v>
      </c>
      <c r="Q85" s="337">
        <f t="shared" si="62"/>
        <v>0</v>
      </c>
      <c r="R85" s="639">
        <f t="shared" si="62"/>
        <v>0</v>
      </c>
      <c r="S85" s="337">
        <f t="shared" si="62"/>
        <v>1</v>
      </c>
      <c r="T85" s="285"/>
      <c r="W85" s="285"/>
      <c r="X85" s="285"/>
      <c r="Y85" s="285"/>
      <c r="Z85" s="285"/>
      <c r="AA85" s="285"/>
      <c r="AB85" s="285"/>
      <c r="AC85" s="285"/>
      <c r="AD85" s="285"/>
      <c r="AE85" s="285"/>
    </row>
    <row r="86" spans="1:31" s="273" customFormat="1" hidden="1">
      <c r="A86" s="276" t="s">
        <v>146</v>
      </c>
      <c r="B86" s="275">
        <f>IF(B81&gt;0,IF(B83=S46,S49,S49+1),S49)</f>
        <v>8</v>
      </c>
      <c r="C86" s="275">
        <f t="shared" ref="C86:S86" si="63">IF(C81&gt;0,IF(C83=B83,B86,B86+1),B86)</f>
        <v>8</v>
      </c>
      <c r="D86" s="275">
        <f t="shared" si="63"/>
        <v>8</v>
      </c>
      <c r="E86" s="275">
        <f t="shared" si="63"/>
        <v>8</v>
      </c>
      <c r="F86" s="275">
        <f t="shared" si="63"/>
        <v>8</v>
      </c>
      <c r="G86" s="275">
        <f t="shared" si="63"/>
        <v>8</v>
      </c>
      <c r="H86" s="275">
        <f t="shared" si="63"/>
        <v>9</v>
      </c>
      <c r="I86" s="275">
        <f t="shared" si="63"/>
        <v>9</v>
      </c>
      <c r="J86" s="275">
        <f t="shared" si="63"/>
        <v>10</v>
      </c>
      <c r="K86" s="275">
        <f t="shared" si="63"/>
        <v>10</v>
      </c>
      <c r="L86" s="275">
        <f t="shared" si="63"/>
        <v>10</v>
      </c>
      <c r="M86" s="275">
        <f t="shared" si="63"/>
        <v>10</v>
      </c>
      <c r="N86" s="275">
        <f t="shared" si="63"/>
        <v>10</v>
      </c>
      <c r="O86" s="275">
        <f t="shared" si="63"/>
        <v>11</v>
      </c>
      <c r="P86" s="275">
        <f t="shared" si="63"/>
        <v>11</v>
      </c>
      <c r="Q86" s="275">
        <f t="shared" si="63"/>
        <v>11</v>
      </c>
      <c r="R86" s="275">
        <f t="shared" si="63"/>
        <v>11</v>
      </c>
      <c r="S86" s="337">
        <f t="shared" si="63"/>
        <v>12</v>
      </c>
      <c r="T86" s="274"/>
      <c r="W86" s="274"/>
      <c r="X86" s="274"/>
      <c r="Y86" s="274"/>
      <c r="Z86" s="274"/>
      <c r="AA86" s="274"/>
      <c r="AB86" s="274"/>
      <c r="AC86" s="274"/>
      <c r="AD86" s="274"/>
      <c r="AE86" s="274"/>
    </row>
    <row r="87" spans="1:31" s="273" customFormat="1" ht="7.5" hidden="1" thickBot="1">
      <c r="A87" s="276" t="s">
        <v>130</v>
      </c>
      <c r="B87" s="275">
        <f>IF(ISERROR(B80-S46),0,IF(OR(B80-S46&lt;7,LEN(B79)&gt;9),0,1))</f>
        <v>0</v>
      </c>
      <c r="C87" s="275">
        <f t="shared" ref="C87:S87" si="64">IF(ISERROR(C80-B80),0,IF(OR(C80-B80&lt;7,LEN(C79)&gt;9),0,1))</f>
        <v>0</v>
      </c>
      <c r="D87" s="275">
        <f t="shared" si="64"/>
        <v>0</v>
      </c>
      <c r="E87" s="275">
        <f t="shared" si="64"/>
        <v>0</v>
      </c>
      <c r="F87" s="275">
        <f t="shared" si="64"/>
        <v>0</v>
      </c>
      <c r="G87" s="275">
        <f t="shared" si="64"/>
        <v>0</v>
      </c>
      <c r="H87" s="275">
        <f t="shared" si="64"/>
        <v>1</v>
      </c>
      <c r="I87" s="275">
        <f t="shared" si="64"/>
        <v>0</v>
      </c>
      <c r="J87" s="275">
        <f t="shared" si="64"/>
        <v>1</v>
      </c>
      <c r="K87" s="275">
        <f t="shared" si="64"/>
        <v>0</v>
      </c>
      <c r="L87" s="275">
        <f t="shared" si="64"/>
        <v>0</v>
      </c>
      <c r="M87" s="275">
        <f t="shared" si="64"/>
        <v>0</v>
      </c>
      <c r="N87" s="275">
        <f t="shared" si="64"/>
        <v>0</v>
      </c>
      <c r="O87" s="275">
        <f t="shared" si="64"/>
        <v>1</v>
      </c>
      <c r="P87" s="275">
        <f t="shared" si="64"/>
        <v>0</v>
      </c>
      <c r="Q87" s="275">
        <f t="shared" si="64"/>
        <v>0</v>
      </c>
      <c r="R87" s="275">
        <f t="shared" si="64"/>
        <v>0</v>
      </c>
      <c r="S87" s="337">
        <f t="shared" si="64"/>
        <v>1</v>
      </c>
      <c r="T87" s="274"/>
      <c r="W87" s="274"/>
      <c r="X87" s="274"/>
      <c r="Y87" s="274"/>
      <c r="Z87" s="274"/>
      <c r="AA87" s="274"/>
      <c r="AB87" s="274"/>
      <c r="AC87" s="274"/>
      <c r="AD87" s="274"/>
      <c r="AE87" s="274"/>
    </row>
    <row r="88" spans="1:31" s="48" customFormat="1" ht="11.5" thickTop="1" thickBot="1">
      <c r="A88" s="68" t="s">
        <v>16</v>
      </c>
      <c r="B88" s="643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20"/>
      <c r="T88" s="69"/>
      <c r="W88" s="69"/>
      <c r="X88" s="69"/>
      <c r="Y88" s="69"/>
      <c r="Z88" s="69"/>
      <c r="AA88" s="69"/>
      <c r="AB88" s="69"/>
      <c r="AC88" s="69"/>
      <c r="AD88" s="69"/>
      <c r="AE88" s="69"/>
    </row>
    <row r="89" spans="1:31" s="48" customFormat="1" ht="7.5" thickTop="1">
      <c r="A89" s="52" t="s">
        <v>25</v>
      </c>
      <c r="B89" s="351"/>
      <c r="C89" s="351"/>
      <c r="D89" s="351"/>
      <c r="E89" s="351"/>
      <c r="F89" s="351"/>
      <c r="G89" s="351"/>
      <c r="H89" s="351">
        <v>25</v>
      </c>
      <c r="I89" s="351"/>
      <c r="J89" s="351">
        <v>25</v>
      </c>
      <c r="K89" s="351"/>
      <c r="L89" s="351"/>
      <c r="M89" s="351"/>
      <c r="N89" s="351"/>
      <c r="O89" s="351">
        <v>25</v>
      </c>
      <c r="P89" s="351"/>
      <c r="Q89" s="351"/>
      <c r="R89" s="351"/>
      <c r="S89" s="349">
        <v>25</v>
      </c>
      <c r="T89" s="69"/>
      <c r="W89" s="69"/>
      <c r="X89" s="69"/>
      <c r="Y89" s="69"/>
      <c r="Z89" s="69"/>
      <c r="AA89" s="69"/>
      <c r="AB89" s="69"/>
      <c r="AC89" s="69"/>
      <c r="AD89" s="69"/>
      <c r="AE89" s="69"/>
    </row>
    <row r="90" spans="1:31" s="48" customFormat="1">
      <c r="A90" s="55" t="s">
        <v>26</v>
      </c>
      <c r="B90" s="354"/>
      <c r="C90" s="354"/>
      <c r="D90" s="354"/>
      <c r="E90" s="354"/>
      <c r="F90" s="354"/>
      <c r="G90" s="354"/>
      <c r="H90" s="354">
        <v>100</v>
      </c>
      <c r="I90" s="354"/>
      <c r="J90" s="354">
        <v>120</v>
      </c>
      <c r="K90" s="354"/>
      <c r="L90" s="354"/>
      <c r="M90" s="354"/>
      <c r="N90" s="354"/>
      <c r="O90" s="354">
        <v>60</v>
      </c>
      <c r="P90" s="354"/>
      <c r="Q90" s="354"/>
      <c r="R90" s="354"/>
      <c r="S90" s="352">
        <v>150</v>
      </c>
      <c r="T90" s="69"/>
      <c r="W90" s="69"/>
      <c r="X90" s="69"/>
      <c r="Y90" s="69"/>
      <c r="Z90" s="69"/>
      <c r="AA90" s="69"/>
      <c r="AB90" s="69"/>
      <c r="AC90" s="69"/>
      <c r="AD90" s="69"/>
      <c r="AE90" s="69"/>
    </row>
    <row r="91" spans="1:31" s="48" customFormat="1" ht="7.5" thickBot="1">
      <c r="A91" s="112" t="s">
        <v>29</v>
      </c>
      <c r="B91" s="357"/>
      <c r="C91" s="357"/>
      <c r="D91" s="357"/>
      <c r="E91" s="357"/>
      <c r="F91" s="357"/>
      <c r="G91" s="357"/>
      <c r="H91" s="357">
        <v>160</v>
      </c>
      <c r="I91" s="357"/>
      <c r="J91" s="357">
        <v>30</v>
      </c>
      <c r="K91" s="357"/>
      <c r="L91" s="357"/>
      <c r="M91" s="357"/>
      <c r="N91" s="357"/>
      <c r="O91" s="357">
        <v>40</v>
      </c>
      <c r="P91" s="357"/>
      <c r="Q91" s="357"/>
      <c r="R91" s="357"/>
      <c r="S91" s="355">
        <v>90</v>
      </c>
      <c r="T91" s="69"/>
      <c r="W91" s="69"/>
      <c r="X91" s="69"/>
      <c r="Y91" s="69"/>
      <c r="Z91" s="69"/>
      <c r="AA91" s="69"/>
      <c r="AB91" s="69"/>
      <c r="AC91" s="69"/>
      <c r="AD91" s="69"/>
      <c r="AE91" s="69"/>
    </row>
    <row r="92" spans="1:31" s="48" customFormat="1" ht="11.5" thickTop="1" thickBot="1">
      <c r="A92" s="115" t="s">
        <v>73</v>
      </c>
      <c r="B92" s="56"/>
      <c r="C92" s="56">
        <f>SUM(C89:C91)</f>
        <v>0</v>
      </c>
      <c r="D92" s="56">
        <f>SUM(D89:D91)</f>
        <v>0</v>
      </c>
      <c r="E92" s="56">
        <f>SUM(E89:E91)</f>
        <v>0</v>
      </c>
      <c r="F92" s="56">
        <f>SUM(F89:F91)</f>
        <v>0</v>
      </c>
      <c r="G92" s="56">
        <f t="shared" ref="G92:S92" si="65">SUM(G89:G91)</f>
        <v>0</v>
      </c>
      <c r="H92" s="56">
        <f t="shared" si="65"/>
        <v>285</v>
      </c>
      <c r="I92" s="56">
        <f t="shared" si="65"/>
        <v>0</v>
      </c>
      <c r="J92" s="56">
        <f t="shared" si="65"/>
        <v>175</v>
      </c>
      <c r="K92" s="56">
        <f t="shared" si="65"/>
        <v>0</v>
      </c>
      <c r="L92" s="56">
        <f t="shared" si="65"/>
        <v>0</v>
      </c>
      <c r="M92" s="56">
        <f t="shared" si="65"/>
        <v>0</v>
      </c>
      <c r="N92" s="56">
        <f t="shared" si="65"/>
        <v>0</v>
      </c>
      <c r="O92" s="56">
        <f t="shared" si="65"/>
        <v>125</v>
      </c>
      <c r="P92" s="56">
        <f t="shared" si="65"/>
        <v>0</v>
      </c>
      <c r="Q92" s="56">
        <f t="shared" si="65"/>
        <v>0</v>
      </c>
      <c r="R92" s="56">
        <f t="shared" si="65"/>
        <v>0</v>
      </c>
      <c r="S92" s="74">
        <f t="shared" si="65"/>
        <v>265</v>
      </c>
      <c r="T92" s="69"/>
      <c r="W92" s="69"/>
      <c r="X92" s="69"/>
      <c r="Y92" s="69"/>
      <c r="Z92" s="69"/>
      <c r="AA92" s="69"/>
      <c r="AB92" s="69"/>
      <c r="AC92" s="69"/>
      <c r="AD92" s="69"/>
      <c r="AE92" s="69"/>
    </row>
    <row r="93" spans="1:31" s="48" customFormat="1" ht="11.5" thickTop="1" thickBot="1">
      <c r="A93" s="11" t="s">
        <v>75</v>
      </c>
      <c r="B93" s="304" t="str">
        <f ca="1">IF(OR(LEFT(B79,2)="un",B92&lt;&gt;0,B106&lt;&gt;0, B79="",B80&gt;NOW()),"","Acct Due")</f>
        <v/>
      </c>
      <c r="C93" s="304" t="str">
        <f ca="1">IF(OR(LEFT(C79,2)="un",C92&lt;&gt;0,C106&lt;&gt;0, C79="",C80&gt;NOW()),"","Acct Due")</f>
        <v/>
      </c>
      <c r="D93" s="304" t="str">
        <f ca="1">IF(OR(LEFT(D79,2)="un",D92&lt;&gt;0,D106&lt;&gt;0, D79="",D80&gt;NOW()),"","Acct Due")</f>
        <v/>
      </c>
      <c r="E93" s="304" t="str">
        <f ca="1">IF(OR(LEFT(E79,2)="un",E92&lt;&gt;0,E106&lt;&gt;0, E79="",E80&gt;NOW()),"","Acct Due")</f>
        <v/>
      </c>
      <c r="F93" s="304" t="str">
        <f ca="1">IF(OR(LEFT(F79,2)="un",F92&lt;&gt;0,F106&lt;&gt;0, F79="",F80&gt;NOW()),"","Acct Due")</f>
        <v/>
      </c>
      <c r="G93" s="304" t="str">
        <f t="shared" ref="G93:S93" ca="1" si="66">IF(OR(LEFT(G79,2)="un",G92&lt;&gt;0,G106&lt;&gt;0, G79="",G80&gt;NOW()),"","Acct Due")</f>
        <v/>
      </c>
      <c r="H93" s="304" t="str">
        <f t="shared" ca="1" si="66"/>
        <v/>
      </c>
      <c r="I93" s="304" t="str">
        <f t="shared" ca="1" si="66"/>
        <v/>
      </c>
      <c r="J93" s="304" t="str">
        <f t="shared" ca="1" si="66"/>
        <v/>
      </c>
      <c r="K93" s="304" t="str">
        <f t="shared" ca="1" si="66"/>
        <v/>
      </c>
      <c r="L93" s="304" t="str">
        <f t="shared" ca="1" si="66"/>
        <v/>
      </c>
      <c r="M93" s="304" t="str">
        <f t="shared" ca="1" si="66"/>
        <v/>
      </c>
      <c r="N93" s="304" t="str">
        <f t="shared" ca="1" si="66"/>
        <v/>
      </c>
      <c r="O93" s="304" t="str">
        <f t="shared" ca="1" si="66"/>
        <v/>
      </c>
      <c r="P93" s="304" t="str">
        <f t="shared" ca="1" si="66"/>
        <v/>
      </c>
      <c r="Q93" s="304" t="str">
        <f t="shared" ca="1" si="66"/>
        <v/>
      </c>
      <c r="R93" s="304" t="str">
        <f t="shared" ca="1" si="66"/>
        <v/>
      </c>
      <c r="S93" s="316" t="str">
        <f t="shared" ca="1" si="66"/>
        <v/>
      </c>
      <c r="T93" s="69"/>
      <c r="W93" s="69"/>
      <c r="X93" s="69"/>
      <c r="Y93" s="69"/>
      <c r="Z93" s="69"/>
      <c r="AA93" s="69"/>
      <c r="AB93" s="69"/>
      <c r="AC93" s="69"/>
      <c r="AD93" s="69"/>
      <c r="AE93" s="69"/>
    </row>
    <row r="94" spans="1:31" s="48" customFormat="1" ht="7.5" thickTop="1">
      <c r="A94" s="52" t="s">
        <v>39</v>
      </c>
      <c r="B94" s="351"/>
      <c r="C94" s="351"/>
      <c r="D94" s="351"/>
      <c r="E94" s="351"/>
      <c r="F94" s="351"/>
      <c r="G94" s="351"/>
      <c r="H94" s="351"/>
      <c r="I94" s="351"/>
      <c r="J94" s="351"/>
      <c r="K94" s="351"/>
      <c r="L94" s="351"/>
      <c r="M94" s="351"/>
      <c r="N94" s="351"/>
      <c r="O94" s="351"/>
      <c r="P94" s="351"/>
      <c r="Q94" s="351"/>
      <c r="R94" s="351"/>
      <c r="S94" s="349">
        <v>119.6</v>
      </c>
      <c r="T94" s="69"/>
      <c r="W94" s="69"/>
      <c r="X94" s="69"/>
      <c r="Y94" s="69"/>
      <c r="Z94" s="69"/>
      <c r="AA94" s="69"/>
      <c r="AB94" s="69"/>
      <c r="AC94" s="69"/>
      <c r="AD94" s="69"/>
      <c r="AE94" s="69"/>
    </row>
    <row r="95" spans="1:31" s="48" customFormat="1">
      <c r="A95" s="55" t="s">
        <v>40</v>
      </c>
      <c r="B95" s="354"/>
      <c r="C95" s="354"/>
      <c r="D95" s="354"/>
      <c r="E95" s="354"/>
      <c r="F95" s="354"/>
      <c r="G95" s="354"/>
      <c r="H95" s="354"/>
      <c r="I95" s="354"/>
      <c r="J95" s="354">
        <v>86.71</v>
      </c>
      <c r="K95" s="354"/>
      <c r="L95" s="354"/>
      <c r="M95" s="354"/>
      <c r="N95" s="354"/>
      <c r="O95" s="354"/>
      <c r="P95" s="354"/>
      <c r="Q95" s="354"/>
      <c r="R95" s="354"/>
      <c r="S95" s="352"/>
      <c r="T95" s="69"/>
      <c r="W95" s="69"/>
      <c r="X95" s="69"/>
      <c r="Y95" s="69"/>
      <c r="Z95" s="69"/>
      <c r="AA95" s="69"/>
      <c r="AB95" s="69"/>
      <c r="AC95" s="69"/>
      <c r="AD95" s="69"/>
      <c r="AE95" s="69"/>
    </row>
    <row r="96" spans="1:31" s="48" customFormat="1">
      <c r="A96" s="55" t="s">
        <v>41</v>
      </c>
      <c r="B96" s="354"/>
      <c r="C96" s="354"/>
      <c r="D96" s="354"/>
      <c r="E96" s="354"/>
      <c r="F96" s="354"/>
      <c r="G96" s="354"/>
      <c r="H96" s="354"/>
      <c r="I96" s="354"/>
      <c r="J96" s="354"/>
      <c r="K96" s="354"/>
      <c r="L96" s="354"/>
      <c r="M96" s="354"/>
      <c r="N96" s="354"/>
      <c r="O96" s="354"/>
      <c r="P96" s="354"/>
      <c r="Q96" s="354"/>
      <c r="R96" s="354"/>
      <c r="S96" s="352"/>
      <c r="T96" s="69"/>
      <c r="W96" s="69"/>
      <c r="X96" s="69"/>
      <c r="Y96" s="69"/>
      <c r="Z96" s="69"/>
      <c r="AA96" s="69"/>
      <c r="AB96" s="69"/>
      <c r="AC96" s="69"/>
      <c r="AD96" s="69"/>
      <c r="AE96" s="69"/>
    </row>
    <row r="97" spans="1:31" s="48" customFormat="1">
      <c r="A97" s="57" t="s">
        <v>43</v>
      </c>
      <c r="B97" s="101"/>
      <c r="C97" s="103">
        <f>+'OTHER COSTS'!AM82</f>
        <v>0</v>
      </c>
      <c r="D97" s="101"/>
      <c r="E97" s="103">
        <f>+'OTHER COSTS'!AO82</f>
        <v>0</v>
      </c>
      <c r="F97" s="101">
        <f>+'OTHER COSTS'!AP82</f>
        <v>0</v>
      </c>
      <c r="G97" s="101">
        <f>+'OTHER COSTS'!AQ82</f>
        <v>0</v>
      </c>
      <c r="H97" s="101">
        <f>+'OTHER COSTS'!AR82</f>
        <v>3.95</v>
      </c>
      <c r="I97" s="101">
        <f>+'OTHER COSTS'!AS82</f>
        <v>0</v>
      </c>
      <c r="J97" s="101">
        <f>+'OTHER COSTS'!AT82</f>
        <v>0</v>
      </c>
      <c r="K97" s="101">
        <f>+'OTHER COSTS'!AU82</f>
        <v>0</v>
      </c>
      <c r="L97" s="101">
        <f>+'OTHER COSTS'!AV82</f>
        <v>0</v>
      </c>
      <c r="M97" s="103">
        <f>+'OTHER COSTS'!AW82</f>
        <v>0</v>
      </c>
      <c r="N97" s="101">
        <f>+'OTHER COSTS'!AX82</f>
        <v>0</v>
      </c>
      <c r="O97" s="101">
        <f>+'OTHER COSTS'!AY82</f>
        <v>0</v>
      </c>
      <c r="P97" s="101">
        <f>+'OTHER COSTS'!AZ82</f>
        <v>0</v>
      </c>
      <c r="Q97" s="101">
        <f>+'OTHER COSTS'!BA82</f>
        <v>0</v>
      </c>
      <c r="R97" s="101">
        <f>+'OTHER COSTS'!BB82</f>
        <v>0</v>
      </c>
      <c r="S97" s="100">
        <f>+'OTHER COSTS'!BC82</f>
        <v>0</v>
      </c>
      <c r="T97" s="69"/>
      <c r="W97" s="69"/>
      <c r="X97" s="69"/>
      <c r="Y97" s="69"/>
      <c r="Z97" s="69"/>
      <c r="AA97" s="69"/>
      <c r="AB97" s="69"/>
      <c r="AC97" s="69"/>
      <c r="AD97" s="69"/>
      <c r="AE97" s="69"/>
    </row>
    <row r="98" spans="1:31" s="48" customFormat="1">
      <c r="A98" s="92" t="s">
        <v>44</v>
      </c>
      <c r="B98" s="51">
        <f>SUM(B94:B97)</f>
        <v>0</v>
      </c>
      <c r="C98" s="51">
        <f>SUM(C94:C97)</f>
        <v>0</v>
      </c>
      <c r="D98" s="51">
        <f>SUM(D94:D97)</f>
        <v>0</v>
      </c>
      <c r="E98" s="51">
        <f>SUM(E94:E97)</f>
        <v>0</v>
      </c>
      <c r="F98" s="51">
        <f>SUM(F94:F97)</f>
        <v>0</v>
      </c>
      <c r="G98" s="51">
        <f t="shared" ref="G98:S98" si="67">SUM(G94:G97)</f>
        <v>0</v>
      </c>
      <c r="H98" s="51">
        <f t="shared" si="67"/>
        <v>3.95</v>
      </c>
      <c r="I98" s="51">
        <f t="shared" si="67"/>
        <v>0</v>
      </c>
      <c r="J98" s="51">
        <f t="shared" si="67"/>
        <v>86.71</v>
      </c>
      <c r="K98" s="51">
        <f t="shared" si="67"/>
        <v>0</v>
      </c>
      <c r="L98" s="51">
        <f t="shared" si="67"/>
        <v>0</v>
      </c>
      <c r="M98" s="51">
        <f t="shared" si="67"/>
        <v>0</v>
      </c>
      <c r="N98" s="51">
        <f t="shared" si="67"/>
        <v>0</v>
      </c>
      <c r="O98" s="51">
        <f t="shared" si="67"/>
        <v>0</v>
      </c>
      <c r="P98" s="51">
        <f t="shared" si="67"/>
        <v>0</v>
      </c>
      <c r="Q98" s="51">
        <f t="shared" si="67"/>
        <v>0</v>
      </c>
      <c r="R98" s="51">
        <f t="shared" si="67"/>
        <v>0</v>
      </c>
      <c r="S98" s="47">
        <f t="shared" si="67"/>
        <v>119.6</v>
      </c>
      <c r="T98" s="69"/>
      <c r="W98" s="69"/>
      <c r="X98" s="69"/>
      <c r="Y98" s="69"/>
      <c r="Z98" s="69"/>
      <c r="AA98" s="69"/>
      <c r="AB98" s="69"/>
      <c r="AC98" s="69"/>
      <c r="AD98" s="69"/>
      <c r="AE98" s="69"/>
    </row>
    <row r="99" spans="1:31" s="48" customFormat="1" ht="7.5" thickBot="1">
      <c r="A99" s="93" t="s">
        <v>90</v>
      </c>
      <c r="B99" s="367"/>
      <c r="C99" s="358"/>
      <c r="D99" s="358"/>
      <c r="E99" s="358"/>
      <c r="F99" s="358"/>
      <c r="G99" s="358"/>
      <c r="H99" s="358">
        <v>27</v>
      </c>
      <c r="I99" s="358"/>
      <c r="J99" s="358">
        <v>32.6</v>
      </c>
      <c r="K99" s="358"/>
      <c r="L99" s="358"/>
      <c r="M99" s="358"/>
      <c r="N99" s="358"/>
      <c r="O99" s="358"/>
      <c r="P99" s="358"/>
      <c r="Q99" s="358"/>
      <c r="R99" s="358"/>
      <c r="S99" s="359">
        <v>68.650000000000006</v>
      </c>
      <c r="T99" s="69"/>
      <c r="W99" s="69"/>
      <c r="X99" s="69"/>
      <c r="Y99" s="69"/>
      <c r="Z99" s="69"/>
      <c r="AA99" s="69"/>
      <c r="AB99" s="69"/>
      <c r="AC99" s="69"/>
      <c r="AD99" s="69"/>
      <c r="AE99" s="69"/>
    </row>
    <row r="100" spans="1:31" s="48" customFormat="1" ht="11.5" thickTop="1" thickBot="1">
      <c r="A100" s="94" t="s">
        <v>76</v>
      </c>
      <c r="B100" s="277"/>
      <c r="C100" s="114" t="str">
        <f>IF(OR(LEFT(C88,2)="un",C97&lt;&gt;0,C113&lt;&gt;0, C88=""),"","Acct Due")</f>
        <v/>
      </c>
      <c r="D100" s="114" t="str">
        <f>IF(OR(LEFT(D88,2)="un",D97&lt;&gt;0,D113&lt;&gt;0, D88=""),"","Acct Due")</f>
        <v/>
      </c>
      <c r="E100" s="114" t="str">
        <f>IF(OR(LEFT(E88,2)="un",E97&lt;&gt;0,E113&lt;&gt;0, E88=""),"","Acct Due")</f>
        <v/>
      </c>
      <c r="F100" s="114" t="str">
        <f>IF(OR(LEFT(F88,2)="un",F97&lt;&gt;0,F113&lt;&gt;0, F88=""),"","Acct Due")</f>
        <v/>
      </c>
      <c r="G100" s="114" t="str">
        <f t="shared" ref="G100:S100" si="68">IF(OR(LEFT(G88,2)="un",G97&lt;&gt;0,G113&lt;&gt;0, G88=""),"","Acct Due")</f>
        <v/>
      </c>
      <c r="H100" s="114" t="str">
        <f t="shared" si="68"/>
        <v/>
      </c>
      <c r="I100" s="114" t="str">
        <f t="shared" si="68"/>
        <v/>
      </c>
      <c r="J100" s="114" t="str">
        <f t="shared" si="68"/>
        <v/>
      </c>
      <c r="K100" s="114" t="str">
        <f t="shared" si="68"/>
        <v/>
      </c>
      <c r="L100" s="114" t="str">
        <f t="shared" si="68"/>
        <v/>
      </c>
      <c r="M100" s="114" t="str">
        <f t="shared" si="68"/>
        <v/>
      </c>
      <c r="N100" s="114" t="str">
        <f t="shared" si="68"/>
        <v/>
      </c>
      <c r="O100" s="114" t="str">
        <f t="shared" si="68"/>
        <v/>
      </c>
      <c r="P100" s="114" t="str">
        <f t="shared" si="68"/>
        <v/>
      </c>
      <c r="Q100" s="114" t="str">
        <f t="shared" si="68"/>
        <v/>
      </c>
      <c r="R100" s="114" t="str">
        <f t="shared" si="68"/>
        <v/>
      </c>
      <c r="S100" s="641" t="str">
        <f t="shared" si="68"/>
        <v/>
      </c>
      <c r="T100" s="69"/>
      <c r="W100" s="69"/>
      <c r="X100" s="69"/>
      <c r="Y100" s="69"/>
      <c r="Z100" s="69"/>
      <c r="AA100" s="69"/>
      <c r="AB100" s="69"/>
      <c r="AC100" s="69"/>
      <c r="AD100" s="69"/>
      <c r="AE100" s="69"/>
    </row>
    <row r="101" spans="1:31" s="48" customFormat="1" ht="7.5" thickTop="1">
      <c r="A101" s="52" t="s">
        <v>49</v>
      </c>
      <c r="B101" s="54">
        <f>MAINTENANCE!AM62</f>
        <v>0</v>
      </c>
      <c r="C101" s="54">
        <f>MAINTENANCE!AN62</f>
        <v>0</v>
      </c>
      <c r="D101" s="54">
        <f>MAINTENANCE!AO62</f>
        <v>0</v>
      </c>
      <c r="E101" s="54">
        <f>MAINTENANCE!AP62</f>
        <v>0</v>
      </c>
      <c r="F101" s="54">
        <f>MAINTENANCE!AQ62</f>
        <v>0</v>
      </c>
      <c r="G101" s="54">
        <f>MAINTENANCE!AR62</f>
        <v>0</v>
      </c>
      <c r="H101" s="54">
        <f>MAINTENANCE!AS62</f>
        <v>0</v>
      </c>
      <c r="I101" s="54">
        <f>MAINTENANCE!AT62</f>
        <v>0</v>
      </c>
      <c r="J101" s="54">
        <f>MAINTENANCE!AU62</f>
        <v>20</v>
      </c>
      <c r="K101" s="54">
        <f>MAINTENANCE!AV62</f>
        <v>0</v>
      </c>
      <c r="L101" s="54">
        <f>MAINTENANCE!AW62</f>
        <v>0</v>
      </c>
      <c r="M101" s="54">
        <f>MAINTENANCE!AX62</f>
        <v>0</v>
      </c>
      <c r="N101" s="54">
        <f>MAINTENANCE!AY62</f>
        <v>0</v>
      </c>
      <c r="O101" s="54">
        <f>MAINTENANCE!AZ62</f>
        <v>0</v>
      </c>
      <c r="P101" s="54">
        <f>MAINTENANCE!BA62</f>
        <v>0</v>
      </c>
      <c r="Q101" s="54">
        <f>MAINTENANCE!BB62</f>
        <v>0</v>
      </c>
      <c r="R101" s="54">
        <f>MAINTENANCE!BC62</f>
        <v>0</v>
      </c>
      <c r="S101" s="85">
        <f>MAINTENANCE!BD62</f>
        <v>0</v>
      </c>
      <c r="T101" s="69"/>
      <c r="W101" s="69"/>
      <c r="X101" s="69"/>
      <c r="Y101" s="69"/>
      <c r="Z101" s="69"/>
      <c r="AA101" s="69"/>
      <c r="AB101" s="69"/>
      <c r="AC101" s="69"/>
      <c r="AD101" s="69"/>
      <c r="AE101" s="69"/>
    </row>
    <row r="102" spans="1:31" s="48" customFormat="1">
      <c r="A102" s="55" t="s">
        <v>133</v>
      </c>
      <c r="B102" s="334">
        <f>'OTHER COSTS'!AL41+'OTHER COSTS'!AL48</f>
        <v>0</v>
      </c>
      <c r="C102" s="74">
        <f>'OTHER COSTS'!AM41+'OTHER COSTS'!AM48</f>
        <v>0</v>
      </c>
      <c r="D102" s="74">
        <f>'OTHER COSTS'!AN41+'OTHER COSTS'!AN48</f>
        <v>0</v>
      </c>
      <c r="E102" s="74">
        <f>'OTHER COSTS'!AO41+'OTHER COSTS'!AO48</f>
        <v>0</v>
      </c>
      <c r="F102" s="74">
        <f>'OTHER COSTS'!AP41+'OTHER COSTS'!AP48</f>
        <v>0</v>
      </c>
      <c r="G102" s="74">
        <f>'OTHER COSTS'!AQ41+'OTHER COSTS'!AQ48</f>
        <v>0</v>
      </c>
      <c r="H102" s="74">
        <f>'OTHER COSTS'!AR41+'OTHER COSTS'!AR48</f>
        <v>0</v>
      </c>
      <c r="I102" s="74">
        <f>'OTHER COSTS'!AS41+'OTHER COSTS'!AS48</f>
        <v>0</v>
      </c>
      <c r="J102" s="74">
        <f>'OTHER COSTS'!AT41+'OTHER COSTS'!AT48</f>
        <v>0</v>
      </c>
      <c r="K102" s="74">
        <f>'OTHER COSTS'!AU41+'OTHER COSTS'!AU48</f>
        <v>0</v>
      </c>
      <c r="L102" s="74">
        <f>'OTHER COSTS'!AV41+'OTHER COSTS'!AV48</f>
        <v>0</v>
      </c>
      <c r="M102" s="74">
        <f>'OTHER COSTS'!AW41+'OTHER COSTS'!AW48</f>
        <v>0</v>
      </c>
      <c r="N102" s="74">
        <f>'OTHER COSTS'!AX41+'OTHER COSTS'!AX48</f>
        <v>0</v>
      </c>
      <c r="O102" s="74">
        <f>'OTHER COSTS'!AY41+'OTHER COSTS'!AY48</f>
        <v>0</v>
      </c>
      <c r="P102" s="74">
        <f>'OTHER COSTS'!AZ41+'OTHER COSTS'!AZ48</f>
        <v>0</v>
      </c>
      <c r="Q102" s="74">
        <f>'OTHER COSTS'!BA41+'OTHER COSTS'!BA48</f>
        <v>0</v>
      </c>
      <c r="R102" s="56">
        <f>'OTHER COSTS'!BB41+'OTHER COSTS'!BB48</f>
        <v>0</v>
      </c>
      <c r="S102" s="74">
        <f>'OTHER COSTS'!BC41+'OTHER COSTS'!BC48</f>
        <v>71.47</v>
      </c>
      <c r="T102" s="69"/>
      <c r="W102" s="69"/>
      <c r="X102" s="69"/>
      <c r="Y102" s="69"/>
      <c r="Z102" s="69"/>
      <c r="AA102" s="69"/>
      <c r="AB102" s="69"/>
      <c r="AC102" s="69"/>
      <c r="AD102" s="69"/>
      <c r="AE102" s="69"/>
    </row>
    <row r="103" spans="1:31" s="48" customFormat="1">
      <c r="A103" s="55" t="s">
        <v>81</v>
      </c>
      <c r="B103" s="56">
        <f>'OTHER COSTS'!AL59</f>
        <v>0</v>
      </c>
      <c r="C103" s="56">
        <f>'OTHER COSTS'!AM59</f>
        <v>0</v>
      </c>
      <c r="D103" s="56">
        <f>'OTHER COSTS'!AN59</f>
        <v>0</v>
      </c>
      <c r="E103" s="56">
        <f>'OTHER COSTS'!AO59</f>
        <v>0</v>
      </c>
      <c r="F103" s="56">
        <f>'OTHER COSTS'!AP59</f>
        <v>0</v>
      </c>
      <c r="G103" s="56">
        <f>'OTHER COSTS'!AQ59</f>
        <v>0</v>
      </c>
      <c r="H103" s="56">
        <f>'OTHER COSTS'!AR59</f>
        <v>0</v>
      </c>
      <c r="I103" s="56">
        <f>'OTHER COSTS'!AS59</f>
        <v>0</v>
      </c>
      <c r="J103" s="56">
        <f>'OTHER COSTS'!AT59</f>
        <v>0</v>
      </c>
      <c r="K103" s="56">
        <f>'OTHER COSTS'!AU59</f>
        <v>0</v>
      </c>
      <c r="L103" s="56">
        <f>'OTHER COSTS'!AV59</f>
        <v>0</v>
      </c>
      <c r="M103" s="56">
        <f>'OTHER COSTS'!AW59</f>
        <v>0</v>
      </c>
      <c r="N103" s="56">
        <f>'OTHER COSTS'!AX59</f>
        <v>0</v>
      </c>
      <c r="O103" s="56">
        <f>'OTHER COSTS'!AY59</f>
        <v>0</v>
      </c>
      <c r="P103" s="56">
        <f>'OTHER COSTS'!AZ59</f>
        <v>0</v>
      </c>
      <c r="Q103" s="56">
        <f>'OTHER COSTS'!BA59</f>
        <v>0</v>
      </c>
      <c r="R103" s="56">
        <f>'OTHER COSTS'!BB59</f>
        <v>0</v>
      </c>
      <c r="S103" s="74">
        <f>'OTHER COSTS'!BC59</f>
        <v>0</v>
      </c>
      <c r="T103" s="69"/>
      <c r="W103" s="69"/>
      <c r="X103" s="69"/>
      <c r="Y103" s="69"/>
      <c r="Z103" s="69"/>
      <c r="AA103" s="69"/>
      <c r="AB103" s="69"/>
      <c r="AC103" s="69"/>
      <c r="AD103" s="69"/>
      <c r="AE103" s="69"/>
    </row>
    <row r="104" spans="1:31" s="48" customFormat="1">
      <c r="A104" s="57" t="s">
        <v>51</v>
      </c>
      <c r="B104" s="362"/>
      <c r="C104" s="362"/>
      <c r="D104" s="362"/>
      <c r="E104" s="362"/>
      <c r="F104" s="362"/>
      <c r="G104" s="362"/>
      <c r="H104" s="362">
        <v>232</v>
      </c>
      <c r="I104" s="362"/>
      <c r="J104" s="362">
        <v>208</v>
      </c>
      <c r="K104" s="362"/>
      <c r="L104" s="362"/>
      <c r="M104" s="362"/>
      <c r="N104" s="362"/>
      <c r="O104" s="362"/>
      <c r="P104" s="362"/>
      <c r="Q104" s="362"/>
      <c r="R104" s="362"/>
      <c r="S104" s="360"/>
      <c r="T104" s="69"/>
      <c r="W104" s="69"/>
      <c r="X104" s="69"/>
      <c r="Y104" s="69"/>
      <c r="Z104" s="69"/>
      <c r="AA104" s="69"/>
      <c r="AB104" s="69"/>
      <c r="AC104" s="69"/>
      <c r="AD104" s="69"/>
      <c r="AE104" s="69"/>
    </row>
    <row r="105" spans="1:31" s="48" customFormat="1" ht="7.5" thickBot="1">
      <c r="A105" s="92" t="s">
        <v>77</v>
      </c>
      <c r="B105" s="51">
        <f>SUM(B101:B104)</f>
        <v>0</v>
      </c>
      <c r="C105" s="51">
        <f>SUM(C101:C104)</f>
        <v>0</v>
      </c>
      <c r="D105" s="51">
        <f>SUM(D101:D104)</f>
        <v>0</v>
      </c>
      <c r="E105" s="51">
        <f>SUM(E101:E104)</f>
        <v>0</v>
      </c>
      <c r="F105" s="51">
        <f>SUM(F101:F104)</f>
        <v>0</v>
      </c>
      <c r="G105" s="51">
        <f t="shared" ref="G105:S105" si="69">SUM(G101:G104)</f>
        <v>0</v>
      </c>
      <c r="H105" s="51">
        <f t="shared" si="69"/>
        <v>232</v>
      </c>
      <c r="I105" s="51">
        <f t="shared" si="69"/>
        <v>0</v>
      </c>
      <c r="J105" s="51">
        <f t="shared" si="69"/>
        <v>228</v>
      </c>
      <c r="K105" s="51">
        <f t="shared" si="69"/>
        <v>0</v>
      </c>
      <c r="L105" s="51">
        <f t="shared" si="69"/>
        <v>0</v>
      </c>
      <c r="M105" s="51">
        <f t="shared" si="69"/>
        <v>0</v>
      </c>
      <c r="N105" s="51">
        <f t="shared" si="69"/>
        <v>0</v>
      </c>
      <c r="O105" s="51">
        <f t="shared" si="69"/>
        <v>0</v>
      </c>
      <c r="P105" s="51">
        <f t="shared" si="69"/>
        <v>0</v>
      </c>
      <c r="Q105" s="51">
        <f t="shared" si="69"/>
        <v>0</v>
      </c>
      <c r="R105" s="51">
        <f t="shared" si="69"/>
        <v>0</v>
      </c>
      <c r="S105" s="47">
        <f t="shared" si="69"/>
        <v>71.47</v>
      </c>
      <c r="T105" s="69"/>
      <c r="W105" s="69"/>
      <c r="X105" s="69"/>
      <c r="Y105" s="69"/>
      <c r="Z105" s="69"/>
      <c r="AA105" s="69"/>
      <c r="AB105" s="69"/>
      <c r="AC105" s="69"/>
      <c r="AD105" s="69"/>
      <c r="AE105" s="69"/>
    </row>
    <row r="106" spans="1:31" s="48" customFormat="1" ht="11.5" thickTop="1" thickBot="1">
      <c r="A106" s="302" t="s">
        <v>55</v>
      </c>
      <c r="B106" s="54">
        <f>SUM(B99:B104)+B98</f>
        <v>0</v>
      </c>
      <c r="C106" s="54">
        <f>SUM(C99:C104)+C98</f>
        <v>0</v>
      </c>
      <c r="D106" s="54">
        <f>SUM(D99:D104)+D98</f>
        <v>0</v>
      </c>
      <c r="E106" s="54">
        <f>SUM(E99:E104)+E98</f>
        <v>0</v>
      </c>
      <c r="F106" s="54">
        <f>SUM(F99:F104)+F98</f>
        <v>0</v>
      </c>
      <c r="G106" s="54">
        <f t="shared" ref="G106:R106" si="70">SUM(G99:G104)+G98</f>
        <v>0</v>
      </c>
      <c r="H106" s="54">
        <f t="shared" si="70"/>
        <v>262.95</v>
      </c>
      <c r="I106" s="54">
        <f t="shared" si="70"/>
        <v>0</v>
      </c>
      <c r="J106" s="54">
        <f t="shared" si="70"/>
        <v>347.31</v>
      </c>
      <c r="K106" s="54">
        <f t="shared" si="70"/>
        <v>0</v>
      </c>
      <c r="L106" s="54">
        <f t="shared" si="70"/>
        <v>0</v>
      </c>
      <c r="M106" s="54">
        <f t="shared" si="70"/>
        <v>0</v>
      </c>
      <c r="N106" s="54">
        <f t="shared" si="70"/>
        <v>0</v>
      </c>
      <c r="O106" s="54">
        <f t="shared" si="70"/>
        <v>0</v>
      </c>
      <c r="P106" s="54">
        <f t="shared" si="70"/>
        <v>0</v>
      </c>
      <c r="Q106" s="54">
        <f t="shared" si="70"/>
        <v>0</v>
      </c>
      <c r="R106" s="54">
        <f t="shared" si="70"/>
        <v>0</v>
      </c>
      <c r="S106" s="85">
        <f>SUM(S99:S104)+S98</f>
        <v>259.72000000000003</v>
      </c>
      <c r="T106" s="69"/>
      <c r="W106" s="69"/>
      <c r="X106" s="69"/>
      <c r="Y106" s="69"/>
      <c r="Z106" s="69"/>
      <c r="AA106" s="69"/>
      <c r="AB106" s="69"/>
      <c r="AC106" s="69"/>
      <c r="AD106" s="69"/>
      <c r="AE106" s="69"/>
    </row>
    <row r="107" spans="1:31" s="48" customFormat="1" ht="8" thickTop="1" thickBot="1">
      <c r="A107" s="306" t="s">
        <v>139</v>
      </c>
      <c r="B107" s="310">
        <f>B92-B106</f>
        <v>0</v>
      </c>
      <c r="C107" s="311">
        <f>C92-C106</f>
        <v>0</v>
      </c>
      <c r="D107" s="311">
        <f>D92-D106</f>
        <v>0</v>
      </c>
      <c r="E107" s="311">
        <f>E92-E106</f>
        <v>0</v>
      </c>
      <c r="F107" s="311">
        <f>F92-F106</f>
        <v>0</v>
      </c>
      <c r="G107" s="311">
        <f t="shared" ref="G107:S107" si="71">G92-G106</f>
        <v>0</v>
      </c>
      <c r="H107" s="311">
        <f t="shared" si="71"/>
        <v>22.050000000000011</v>
      </c>
      <c r="I107" s="311">
        <f t="shared" si="71"/>
        <v>0</v>
      </c>
      <c r="J107" s="311">
        <f t="shared" si="71"/>
        <v>-172.31</v>
      </c>
      <c r="K107" s="311">
        <f t="shared" si="71"/>
        <v>0</v>
      </c>
      <c r="L107" s="311">
        <f t="shared" si="71"/>
        <v>0</v>
      </c>
      <c r="M107" s="311">
        <f t="shared" si="71"/>
        <v>0</v>
      </c>
      <c r="N107" s="311">
        <f t="shared" si="71"/>
        <v>0</v>
      </c>
      <c r="O107" s="311">
        <f t="shared" si="71"/>
        <v>125</v>
      </c>
      <c r="P107" s="311">
        <f t="shared" si="71"/>
        <v>0</v>
      </c>
      <c r="Q107" s="311">
        <f t="shared" si="71"/>
        <v>0</v>
      </c>
      <c r="R107" s="640">
        <f t="shared" si="71"/>
        <v>0</v>
      </c>
      <c r="S107" s="307">
        <f t="shared" si="71"/>
        <v>5.2799999999999727</v>
      </c>
      <c r="T107" s="69"/>
      <c r="U107" s="69"/>
      <c r="W107" s="69"/>
      <c r="X107" s="69"/>
      <c r="Y107" s="69"/>
      <c r="Z107" s="69"/>
      <c r="AA107" s="69"/>
      <c r="AB107" s="69"/>
      <c r="AC107" s="69"/>
      <c r="AD107" s="69"/>
      <c r="AE107" s="69"/>
    </row>
    <row r="108" spans="1:31" s="227" customFormat="1" ht="8" thickTop="1" thickBot="1">
      <c r="A108" s="96" t="s">
        <v>138</v>
      </c>
      <c r="B108" s="363" t="str">
        <f t="shared" ref="B108:R108" si="72">IF(B107=0,"","post bal.")</f>
        <v/>
      </c>
      <c r="C108" s="363" t="str">
        <f t="shared" si="72"/>
        <v/>
      </c>
      <c r="D108" s="363" t="str">
        <f t="shared" si="72"/>
        <v/>
      </c>
      <c r="E108" s="363" t="str">
        <f t="shared" si="72"/>
        <v/>
      </c>
      <c r="F108" s="363" t="str">
        <f t="shared" si="72"/>
        <v/>
      </c>
      <c r="G108" s="363" t="str">
        <f t="shared" si="72"/>
        <v/>
      </c>
      <c r="H108" s="363" t="s">
        <v>253</v>
      </c>
      <c r="I108" s="363" t="str">
        <f t="shared" si="72"/>
        <v/>
      </c>
      <c r="J108" s="363" t="s">
        <v>252</v>
      </c>
      <c r="K108" s="363" t="str">
        <f t="shared" si="72"/>
        <v/>
      </c>
      <c r="L108" s="363" t="str">
        <f t="shared" si="72"/>
        <v/>
      </c>
      <c r="M108" s="363" t="str">
        <f t="shared" si="72"/>
        <v/>
      </c>
      <c r="N108" s="363" t="str">
        <f t="shared" si="72"/>
        <v/>
      </c>
      <c r="O108" s="363" t="s">
        <v>253</v>
      </c>
      <c r="P108" s="363" t="str">
        <f t="shared" si="72"/>
        <v/>
      </c>
      <c r="Q108" s="363" t="str">
        <f t="shared" si="72"/>
        <v/>
      </c>
      <c r="R108" s="363" t="str">
        <f t="shared" si="72"/>
        <v/>
      </c>
      <c r="S108" s="363" t="s">
        <v>253</v>
      </c>
      <c r="T108" s="209"/>
      <c r="U108" s="209"/>
      <c r="W108" s="226"/>
      <c r="X108" s="226"/>
      <c r="Y108" s="226"/>
      <c r="Z108" s="226"/>
      <c r="AA108" s="226"/>
      <c r="AB108" s="226"/>
      <c r="AC108" s="226"/>
      <c r="AD108" s="226"/>
      <c r="AE108" s="226"/>
    </row>
    <row r="109" spans="1:31" s="273" customFormat="1" ht="7.5" hidden="1" thickTop="1">
      <c r="A109" s="267" t="s">
        <v>124</v>
      </c>
      <c r="B109" s="270">
        <f t="shared" ref="B109:S109" si="73">IF(B108="post bal.",B107,0)</f>
        <v>0</v>
      </c>
      <c r="C109" s="270">
        <f t="shared" si="73"/>
        <v>0</v>
      </c>
      <c r="D109" s="270">
        <f t="shared" si="73"/>
        <v>0</v>
      </c>
      <c r="E109" s="270">
        <f t="shared" si="73"/>
        <v>0</v>
      </c>
      <c r="F109" s="270">
        <f t="shared" si="73"/>
        <v>0</v>
      </c>
      <c r="G109" s="270">
        <f t="shared" si="73"/>
        <v>0</v>
      </c>
      <c r="H109" s="270">
        <f t="shared" si="73"/>
        <v>0</v>
      </c>
      <c r="I109" s="270">
        <f t="shared" si="73"/>
        <v>0</v>
      </c>
      <c r="J109" s="270">
        <f t="shared" si="73"/>
        <v>0</v>
      </c>
      <c r="K109" s="270">
        <f t="shared" si="73"/>
        <v>0</v>
      </c>
      <c r="L109" s="270">
        <f t="shared" si="73"/>
        <v>0</v>
      </c>
      <c r="M109" s="270">
        <f t="shared" si="73"/>
        <v>0</v>
      </c>
      <c r="N109" s="270">
        <f t="shared" si="73"/>
        <v>0</v>
      </c>
      <c r="O109" s="270">
        <f t="shared" si="73"/>
        <v>0</v>
      </c>
      <c r="P109" s="270">
        <f t="shared" si="73"/>
        <v>0</v>
      </c>
      <c r="Q109" s="270">
        <f t="shared" si="73"/>
        <v>0</v>
      </c>
      <c r="R109" s="270">
        <f t="shared" si="73"/>
        <v>0</v>
      </c>
      <c r="S109" s="270">
        <f t="shared" si="73"/>
        <v>0</v>
      </c>
      <c r="T109" s="270">
        <f>IF(T108="post bal.",T106,0)</f>
        <v>0</v>
      </c>
      <c r="U109" s="270">
        <f>IF(U108="post bal.",U106,0)</f>
        <v>0</v>
      </c>
      <c r="W109" s="274"/>
      <c r="X109" s="274"/>
      <c r="Y109" s="274"/>
      <c r="Z109" s="274"/>
      <c r="AA109" s="274"/>
      <c r="AB109" s="274"/>
      <c r="AC109" s="274"/>
      <c r="AD109" s="274"/>
      <c r="AE109" s="274"/>
    </row>
    <row r="110" spans="1:31" s="268" customFormat="1" hidden="1">
      <c r="A110" s="272" t="s">
        <v>125</v>
      </c>
      <c r="B110" s="268">
        <f t="shared" ref="B110:S110" si="74">IF(B79="Insurance",B104,0)</f>
        <v>0</v>
      </c>
      <c r="C110" s="268">
        <f t="shared" si="74"/>
        <v>0</v>
      </c>
      <c r="D110" s="268">
        <f t="shared" si="74"/>
        <v>0</v>
      </c>
      <c r="E110" s="268">
        <f t="shared" si="74"/>
        <v>0</v>
      </c>
      <c r="F110" s="268">
        <f t="shared" si="74"/>
        <v>0</v>
      </c>
      <c r="G110" s="268">
        <f t="shared" si="74"/>
        <v>0</v>
      </c>
      <c r="H110" s="268">
        <f t="shared" si="74"/>
        <v>0</v>
      </c>
      <c r="I110" s="268">
        <f t="shared" si="74"/>
        <v>0</v>
      </c>
      <c r="J110" s="268">
        <f t="shared" si="74"/>
        <v>0</v>
      </c>
      <c r="K110" s="268">
        <f t="shared" si="74"/>
        <v>0</v>
      </c>
      <c r="L110" s="268">
        <f t="shared" si="74"/>
        <v>0</v>
      </c>
      <c r="M110" s="268">
        <f t="shared" si="74"/>
        <v>0</v>
      </c>
      <c r="N110" s="268">
        <f t="shared" si="74"/>
        <v>0</v>
      </c>
      <c r="O110" s="268">
        <f t="shared" si="74"/>
        <v>0</v>
      </c>
      <c r="P110" s="268">
        <f t="shared" si="74"/>
        <v>0</v>
      </c>
      <c r="Q110" s="268">
        <f t="shared" si="74"/>
        <v>0</v>
      </c>
      <c r="R110" s="268">
        <f t="shared" si="74"/>
        <v>0</v>
      </c>
      <c r="S110" s="268">
        <f t="shared" si="74"/>
        <v>0</v>
      </c>
      <c r="W110" s="269"/>
      <c r="X110" s="269"/>
      <c r="Y110" s="269"/>
      <c r="Z110" s="269"/>
      <c r="AA110" s="269"/>
      <c r="AB110" s="269"/>
      <c r="AC110" s="269"/>
      <c r="AD110" s="269"/>
      <c r="AE110" s="269"/>
    </row>
    <row r="111" spans="1:31" s="268" customFormat="1" hidden="1">
      <c r="A111" s="272" t="s">
        <v>126</v>
      </c>
      <c r="B111" s="268">
        <f t="shared" ref="B111:S111" si="75">IF(B79="Mooring",B105,0)</f>
        <v>0</v>
      </c>
      <c r="C111" s="268">
        <f t="shared" si="75"/>
        <v>0</v>
      </c>
      <c r="D111" s="268">
        <f t="shared" si="75"/>
        <v>0</v>
      </c>
      <c r="E111" s="268">
        <f t="shared" si="75"/>
        <v>0</v>
      </c>
      <c r="F111" s="268">
        <f t="shared" si="75"/>
        <v>0</v>
      </c>
      <c r="G111" s="268">
        <f t="shared" si="75"/>
        <v>0</v>
      </c>
      <c r="H111" s="268">
        <f t="shared" si="75"/>
        <v>0</v>
      </c>
      <c r="I111" s="268">
        <f t="shared" si="75"/>
        <v>0</v>
      </c>
      <c r="J111" s="268">
        <f t="shared" si="75"/>
        <v>0</v>
      </c>
      <c r="K111" s="268">
        <f t="shared" si="75"/>
        <v>0</v>
      </c>
      <c r="L111" s="268">
        <f t="shared" si="75"/>
        <v>0</v>
      </c>
      <c r="M111" s="268">
        <f t="shared" si="75"/>
        <v>0</v>
      </c>
      <c r="N111" s="268">
        <f t="shared" si="75"/>
        <v>0</v>
      </c>
      <c r="O111" s="268">
        <f t="shared" si="75"/>
        <v>0</v>
      </c>
      <c r="P111" s="268">
        <f t="shared" si="75"/>
        <v>0</v>
      </c>
      <c r="Q111" s="268">
        <f t="shared" si="75"/>
        <v>0</v>
      </c>
      <c r="R111" s="268">
        <f t="shared" si="75"/>
        <v>0</v>
      </c>
      <c r="S111" s="268">
        <f t="shared" si="75"/>
        <v>0</v>
      </c>
      <c r="W111" s="269"/>
      <c r="X111" s="269"/>
      <c r="Y111" s="269"/>
      <c r="Z111" s="269"/>
      <c r="AA111" s="269"/>
      <c r="AB111" s="269"/>
      <c r="AC111" s="269"/>
      <c r="AD111" s="269"/>
      <c r="AE111" s="269"/>
    </row>
    <row r="112" spans="1:31" s="268" customFormat="1" hidden="1">
      <c r="A112" s="272" t="s">
        <v>127</v>
      </c>
      <c r="B112" s="268">
        <f t="shared" ref="B112:S112" si="76">IF(B79="Licence",B106,0)</f>
        <v>0</v>
      </c>
      <c r="C112" s="269">
        <f t="shared" si="76"/>
        <v>0</v>
      </c>
      <c r="D112" s="269">
        <f t="shared" si="76"/>
        <v>0</v>
      </c>
      <c r="E112" s="268">
        <f t="shared" si="76"/>
        <v>0</v>
      </c>
      <c r="F112" s="268">
        <f t="shared" si="76"/>
        <v>0</v>
      </c>
      <c r="G112" s="268">
        <f t="shared" si="76"/>
        <v>0</v>
      </c>
      <c r="H112" s="268">
        <f t="shared" si="76"/>
        <v>0</v>
      </c>
      <c r="I112" s="268">
        <f t="shared" si="76"/>
        <v>0</v>
      </c>
      <c r="J112" s="268">
        <f t="shared" si="76"/>
        <v>0</v>
      </c>
      <c r="K112" s="268">
        <f t="shared" si="76"/>
        <v>0</v>
      </c>
      <c r="L112" s="268">
        <f t="shared" si="76"/>
        <v>0</v>
      </c>
      <c r="M112" s="268">
        <f t="shared" si="76"/>
        <v>0</v>
      </c>
      <c r="N112" s="268">
        <f t="shared" si="76"/>
        <v>0</v>
      </c>
      <c r="O112" s="268">
        <f t="shared" si="76"/>
        <v>0</v>
      </c>
      <c r="P112" s="268">
        <f t="shared" si="76"/>
        <v>0</v>
      </c>
      <c r="Q112" s="268">
        <f t="shared" si="76"/>
        <v>0</v>
      </c>
      <c r="R112" s="268">
        <f t="shared" si="76"/>
        <v>0</v>
      </c>
      <c r="S112" s="268">
        <f t="shared" si="76"/>
        <v>0</v>
      </c>
      <c r="W112" s="269"/>
      <c r="X112" s="269"/>
      <c r="Y112" s="269"/>
      <c r="Z112" s="269"/>
      <c r="AA112" s="269"/>
      <c r="AB112" s="269"/>
      <c r="AC112" s="269"/>
      <c r="AD112" s="269"/>
      <c r="AE112" s="269"/>
    </row>
    <row r="113" spans="1:219" s="281" customFormat="1" ht="7.5" hidden="1" thickBot="1">
      <c r="A113" s="280" t="s">
        <v>128</v>
      </c>
      <c r="B113" s="281">
        <f>B104-SUM(B110:B112)</f>
        <v>0</v>
      </c>
      <c r="C113" s="281">
        <f>C104-SUM(C110:C112)</f>
        <v>0</v>
      </c>
      <c r="D113" s="281">
        <f>D104-SUM(D110:D112)</f>
        <v>0</v>
      </c>
      <c r="E113" s="281">
        <f t="shared" ref="E113:R113" si="77">E104-SUM(E110:E112)</f>
        <v>0</v>
      </c>
      <c r="F113" s="281">
        <f t="shared" si="77"/>
        <v>0</v>
      </c>
      <c r="G113" s="281">
        <f t="shared" si="77"/>
        <v>0</v>
      </c>
      <c r="H113" s="281">
        <f t="shared" si="77"/>
        <v>232</v>
      </c>
      <c r="I113" s="281">
        <f t="shared" si="77"/>
        <v>0</v>
      </c>
      <c r="J113" s="281">
        <f t="shared" si="77"/>
        <v>208</v>
      </c>
      <c r="K113" s="281">
        <f t="shared" si="77"/>
        <v>0</v>
      </c>
      <c r="L113" s="281">
        <f t="shared" si="77"/>
        <v>0</v>
      </c>
      <c r="M113" s="281">
        <f t="shared" si="77"/>
        <v>0</v>
      </c>
      <c r="N113" s="281">
        <f t="shared" si="77"/>
        <v>0</v>
      </c>
      <c r="O113" s="281">
        <f t="shared" si="77"/>
        <v>0</v>
      </c>
      <c r="P113" s="281">
        <f t="shared" si="77"/>
        <v>0</v>
      </c>
      <c r="Q113" s="281">
        <f t="shared" si="77"/>
        <v>0</v>
      </c>
      <c r="R113" s="281">
        <f t="shared" si="77"/>
        <v>0</v>
      </c>
      <c r="S113" s="281">
        <f>S104-SUM(S110:S112)</f>
        <v>0</v>
      </c>
    </row>
    <row r="114" spans="1:219" ht="7.5" thickTop="1">
      <c r="B114" s="48"/>
      <c r="C114" s="48"/>
      <c r="D114" s="48"/>
      <c r="J114" s="2"/>
      <c r="Y114" s="90"/>
      <c r="Z114" s="90"/>
      <c r="AA114" s="90"/>
      <c r="AB114" s="90"/>
      <c r="AC114" s="90"/>
      <c r="AD114" s="90"/>
      <c r="AE114" s="90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4"/>
      <c r="BV114" s="14"/>
      <c r="BW114" s="14"/>
      <c r="BX114" s="14"/>
      <c r="BY114" s="14"/>
      <c r="BZ114" s="14"/>
      <c r="CA114" s="14"/>
      <c r="CB114" s="14"/>
      <c r="CC114" s="14"/>
      <c r="CD114" s="14"/>
      <c r="CE114" s="14"/>
      <c r="CF114" s="14"/>
      <c r="CG114" s="14"/>
      <c r="CH114" s="14"/>
      <c r="CI114" s="14"/>
      <c r="CJ114" s="14"/>
      <c r="CK114" s="14"/>
      <c r="CL114" s="14"/>
      <c r="CM114" s="14"/>
      <c r="CN114" s="14"/>
      <c r="CO114" s="14"/>
      <c r="CP114" s="14"/>
      <c r="CQ114" s="14"/>
      <c r="CR114" s="14"/>
      <c r="CS114" s="14"/>
      <c r="CT114" s="14"/>
      <c r="CU114" s="14"/>
      <c r="CV114" s="14"/>
      <c r="CW114" s="14"/>
      <c r="CX114" s="14"/>
      <c r="CY114" s="14"/>
      <c r="CZ114" s="14"/>
      <c r="DA114" s="14"/>
      <c r="DB114" s="14"/>
      <c r="DC114" s="14"/>
      <c r="DD114" s="14"/>
      <c r="DE114" s="14"/>
      <c r="DF114" s="14"/>
      <c r="DG114" s="14"/>
      <c r="DH114" s="14"/>
      <c r="DI114" s="14"/>
      <c r="DJ114" s="14"/>
      <c r="DK114" s="14"/>
      <c r="DL114" s="14"/>
      <c r="DM114" s="14"/>
      <c r="DN114" s="14"/>
      <c r="DO114" s="14"/>
      <c r="DP114" s="14"/>
      <c r="DQ114" s="14"/>
      <c r="DR114" s="14"/>
      <c r="DS114" s="14"/>
      <c r="DT114" s="14"/>
      <c r="DU114" s="14"/>
      <c r="DV114" s="14"/>
      <c r="DW114" s="14"/>
      <c r="DX114" s="14"/>
      <c r="DY114" s="14"/>
      <c r="DZ114" s="14"/>
      <c r="EA114" s="14"/>
      <c r="EB114" s="14"/>
      <c r="EC114" s="14"/>
      <c r="ED114" s="14"/>
      <c r="EE114" s="14"/>
      <c r="EF114" s="14"/>
      <c r="EG114" s="14"/>
      <c r="EH114" s="14"/>
      <c r="EI114" s="14"/>
      <c r="EJ114" s="14"/>
      <c r="EK114" s="14"/>
      <c r="EL114" s="14"/>
      <c r="EM114" s="14"/>
      <c r="EN114" s="14"/>
      <c r="EO114" s="14"/>
      <c r="EP114" s="14"/>
      <c r="EQ114" s="14"/>
      <c r="ER114" s="14"/>
      <c r="ES114" s="14"/>
      <c r="ET114" s="14"/>
      <c r="EU114" s="14"/>
      <c r="EV114" s="14"/>
      <c r="EW114" s="14"/>
      <c r="EX114" s="14"/>
      <c r="EY114" s="14"/>
      <c r="EZ114" s="14"/>
      <c r="FA114" s="14"/>
      <c r="FB114" s="14"/>
      <c r="FC114" s="14"/>
      <c r="FD114" s="14"/>
      <c r="FE114" s="14"/>
      <c r="FF114" s="14"/>
      <c r="FG114" s="14"/>
      <c r="FH114" s="14"/>
      <c r="FI114" s="14"/>
      <c r="FJ114" s="14"/>
      <c r="FK114" s="14"/>
      <c r="FL114" s="14"/>
      <c r="FM114" s="14"/>
      <c r="FN114" s="14"/>
      <c r="FO114" s="14"/>
      <c r="FP114" s="14"/>
      <c r="FQ114" s="14"/>
      <c r="FR114" s="14"/>
      <c r="FS114" s="14"/>
      <c r="FT114" s="14"/>
      <c r="FU114" s="14"/>
      <c r="FV114" s="14"/>
      <c r="FW114" s="14"/>
      <c r="FX114" s="14"/>
      <c r="FY114" s="14"/>
      <c r="FZ114" s="14"/>
      <c r="GA114" s="14"/>
      <c r="GB114" s="14"/>
      <c r="GC114" s="14"/>
      <c r="GD114" s="14"/>
      <c r="GE114" s="14"/>
      <c r="GF114" s="14"/>
      <c r="GG114" s="14"/>
      <c r="GH114" s="14"/>
      <c r="GI114" s="14"/>
      <c r="GJ114" s="14"/>
      <c r="GK114" s="14"/>
      <c r="GL114" s="14"/>
      <c r="GM114" s="14"/>
      <c r="GN114" s="14"/>
      <c r="GO114" s="14"/>
      <c r="GP114" s="14"/>
      <c r="GQ114" s="14"/>
      <c r="GR114" s="14"/>
      <c r="GS114" s="14"/>
      <c r="GT114" s="14"/>
      <c r="GU114" s="14"/>
      <c r="GV114" s="14"/>
      <c r="GW114" s="14"/>
      <c r="GX114" s="14"/>
      <c r="GY114" s="14"/>
      <c r="GZ114" s="14"/>
      <c r="HA114" s="14"/>
      <c r="HB114" s="14"/>
      <c r="HC114" s="14"/>
      <c r="HD114" s="14"/>
      <c r="HE114" s="14"/>
      <c r="HF114" s="14"/>
      <c r="HG114" s="14"/>
      <c r="HH114" s="14"/>
      <c r="HI114" s="14"/>
      <c r="HJ114" s="14"/>
      <c r="HK114" s="14"/>
    </row>
    <row r="115" spans="1:219" s="48" customFormat="1" ht="11.5" hidden="1" thickTop="1" thickBot="1">
      <c r="A115" s="11" t="s">
        <v>153</v>
      </c>
      <c r="H115" s="607"/>
      <c r="I115" s="608"/>
      <c r="J115" s="609"/>
      <c r="K115" s="461"/>
      <c r="L115" s="610"/>
      <c r="M115" s="611"/>
      <c r="N115" s="608"/>
      <c r="O115" s="608"/>
      <c r="P115" s="608"/>
      <c r="Q115" s="608"/>
      <c r="R115" s="608"/>
      <c r="S115" s="608"/>
      <c r="W115" s="69"/>
      <c r="X115" s="69"/>
      <c r="Y115" s="69"/>
      <c r="Z115" s="69"/>
      <c r="AA115" s="69"/>
      <c r="AB115" s="69"/>
      <c r="AC115" s="69"/>
      <c r="AD115" s="69"/>
      <c r="AE115" s="69"/>
    </row>
    <row r="116" spans="1:219" s="48" customFormat="1" ht="7.5" hidden="1" thickTop="1">
      <c r="A116" s="87" t="s">
        <v>71</v>
      </c>
      <c r="B116" s="341" t="s">
        <v>180</v>
      </c>
      <c r="C116" s="341" t="s">
        <v>180</v>
      </c>
      <c r="D116" s="341" t="s">
        <v>180</v>
      </c>
      <c r="E116" s="341" t="s">
        <v>180</v>
      </c>
      <c r="F116" s="454"/>
      <c r="G116" s="90"/>
      <c r="H116" s="619"/>
      <c r="I116" s="620"/>
      <c r="J116" s="620"/>
      <c r="K116" s="620"/>
      <c r="L116" s="614"/>
      <c r="M116" s="612"/>
      <c r="N116" s="612"/>
      <c r="O116" s="612"/>
      <c r="P116" s="612"/>
      <c r="Q116" s="612"/>
      <c r="R116" s="612"/>
      <c r="S116" s="612"/>
      <c r="T116" s="69"/>
      <c r="U116" s="24" t="s">
        <v>12</v>
      </c>
      <c r="W116" s="69"/>
      <c r="X116" s="69"/>
      <c r="Y116" s="69"/>
      <c r="Z116" s="69"/>
      <c r="AA116" s="69"/>
      <c r="AB116" s="69"/>
      <c r="AC116" s="69"/>
      <c r="AD116" s="69"/>
      <c r="AE116" s="69"/>
    </row>
    <row r="117" spans="1:219" s="48" customFormat="1" hidden="1">
      <c r="A117" s="7" t="s">
        <v>72</v>
      </c>
      <c r="B117" s="244">
        <f>S80+7</f>
        <v>43830</v>
      </c>
      <c r="C117" s="86">
        <f>B117+7</f>
        <v>43837</v>
      </c>
      <c r="D117" s="86">
        <f>C117+7</f>
        <v>43844</v>
      </c>
      <c r="E117" s="86">
        <f>D117+7</f>
        <v>43851</v>
      </c>
      <c r="F117" s="455"/>
      <c r="G117" s="89"/>
      <c r="H117" s="612"/>
      <c r="I117" s="620"/>
      <c r="J117" s="620"/>
      <c r="K117" s="620"/>
      <c r="L117" s="614"/>
      <c r="M117" s="612"/>
      <c r="N117" s="612"/>
      <c r="O117" s="612"/>
      <c r="P117" s="612"/>
      <c r="Q117" s="612"/>
      <c r="R117" s="612"/>
      <c r="S117" s="612"/>
      <c r="T117" s="69"/>
      <c r="U117" s="89"/>
      <c r="W117" s="69"/>
      <c r="X117" s="69"/>
      <c r="Y117" s="69"/>
      <c r="Z117" s="69"/>
      <c r="AA117" s="69"/>
      <c r="AB117" s="69"/>
      <c r="AC117" s="69"/>
      <c r="AD117" s="69"/>
      <c r="AE117" s="69"/>
    </row>
    <row r="118" spans="1:219" s="48" customFormat="1" hidden="1">
      <c r="A118" s="104" t="s">
        <v>14</v>
      </c>
      <c r="B118" s="345"/>
      <c r="C118" s="343"/>
      <c r="D118" s="343"/>
      <c r="E118" s="343"/>
      <c r="F118" s="456"/>
      <c r="G118" s="109"/>
      <c r="H118" s="612"/>
      <c r="I118" s="620"/>
      <c r="J118" s="620"/>
      <c r="K118" s="620"/>
      <c r="L118" s="614"/>
      <c r="M118" s="612"/>
      <c r="N118" s="612"/>
      <c r="O118" s="612"/>
      <c r="P118" s="612"/>
      <c r="Q118" s="612"/>
      <c r="R118" s="612"/>
      <c r="S118" s="612"/>
      <c r="T118" s="69"/>
      <c r="U118" s="107">
        <f>SUM(7:7)+SUM(44:44)+SUM(81:81)+SUM(B118:E118)</f>
        <v>52</v>
      </c>
      <c r="W118" s="69"/>
      <c r="X118" s="69"/>
      <c r="Y118" s="69"/>
      <c r="Z118" s="69"/>
      <c r="AA118" s="69"/>
      <c r="AB118" s="69"/>
      <c r="AC118" s="69"/>
      <c r="AD118" s="69"/>
      <c r="AE118" s="69"/>
    </row>
    <row r="119" spans="1:219" s="48" customFormat="1" ht="7.5" hidden="1" thickBot="1">
      <c r="A119" s="108" t="s">
        <v>15</v>
      </c>
      <c r="B119" s="348"/>
      <c r="C119" s="346"/>
      <c r="D119" s="346"/>
      <c r="E119" s="346"/>
      <c r="F119" s="456"/>
      <c r="G119" s="109"/>
      <c r="H119" s="612"/>
      <c r="I119" s="620"/>
      <c r="J119" s="620"/>
      <c r="K119" s="620"/>
      <c r="L119" s="614"/>
      <c r="M119" s="612"/>
      <c r="N119" s="612"/>
      <c r="O119" s="612"/>
      <c r="P119" s="612"/>
      <c r="Q119" s="612"/>
      <c r="R119" s="612"/>
      <c r="S119" s="612"/>
      <c r="T119" s="69"/>
      <c r="U119" s="107">
        <f>SUM(8:8)+SUM(45:45)+SUM(82:82)+SUM(B119:E119)</f>
        <v>135</v>
      </c>
      <c r="W119" s="69"/>
      <c r="X119" s="69"/>
      <c r="Y119" s="69"/>
      <c r="Z119" s="69"/>
      <c r="AA119" s="69"/>
      <c r="AB119" s="69"/>
      <c r="AC119" s="69"/>
      <c r="AD119" s="69"/>
      <c r="AE119" s="69"/>
    </row>
    <row r="120" spans="1:219" s="284" customFormat="1" ht="9.75" hidden="1" customHeight="1" thickTop="1">
      <c r="A120" s="282" t="s">
        <v>131</v>
      </c>
      <c r="B120" s="309">
        <f>IF(OR(ISTEXT(B117),B117=0),Summary!$E$1-7,B117-MOD(B117-Summary!$E$1,7))</f>
        <v>43825</v>
      </c>
      <c r="C120" s="283">
        <f>IF(OR(ISTEXT(C117),C117=0),Summary!$E$1-7,C117-MOD(C117-Summary!$E$1,7))</f>
        <v>43832</v>
      </c>
      <c r="D120" s="283">
        <f>IF(OR(ISTEXT(D117),D117=0),Summary!$E$1-7,D117-MOD(D117-Summary!$E$1,7))</f>
        <v>43839</v>
      </c>
      <c r="E120" s="283">
        <f>IF(OR(ISTEXT(E117),E117=0),Summary!$E$1-7,E117-MOD(E117-Summary!$E$1,7))</f>
        <v>43846</v>
      </c>
      <c r="F120" s="457"/>
      <c r="G120" s="285"/>
      <c r="H120" s="612"/>
      <c r="I120" s="620"/>
      <c r="J120" s="620"/>
      <c r="K120" s="620"/>
      <c r="L120" s="614"/>
      <c r="M120" s="612"/>
      <c r="N120" s="612"/>
      <c r="O120" s="612"/>
      <c r="P120" s="612"/>
      <c r="Q120" s="612"/>
      <c r="R120" s="612"/>
      <c r="S120" s="612"/>
      <c r="T120" s="285"/>
      <c r="W120" s="285"/>
      <c r="X120" s="285"/>
      <c r="Y120" s="285"/>
      <c r="Z120" s="285"/>
      <c r="AA120" s="285"/>
      <c r="AB120" s="285"/>
      <c r="AC120" s="285"/>
      <c r="AD120" s="285"/>
      <c r="AE120" s="285"/>
    </row>
    <row r="121" spans="1:219" s="284" customFormat="1" ht="9.75" hidden="1" customHeight="1">
      <c r="A121" s="276" t="s">
        <v>147</v>
      </c>
      <c r="B121" s="331" t="b">
        <f>OR(ISNUMBER(HLOOKUP(B120,B157:S158,2)),ISNUMBER(HLOOKUP(B120,B198:S199,2)))</f>
        <v>0</v>
      </c>
      <c r="C121" s="337" t="b">
        <f>OR(ISNUMBER(HLOOKUP(C120,C157:T158,2)),ISNUMBER(HLOOKUP(C120,C198:T199,2)))</f>
        <v>0</v>
      </c>
      <c r="D121" s="337" t="b">
        <f>OR(ISNUMBER(HLOOKUP(D120,D157:U158,2)),ISNUMBER(HLOOKUP(D120,D198:U199,2)))</f>
        <v>0</v>
      </c>
      <c r="E121" s="337" t="b">
        <f>OR(ISNUMBER(HLOOKUP(E120,E157:V158,2)),ISNUMBER(HLOOKUP(E120,E198:V199,2)))</f>
        <v>0</v>
      </c>
      <c r="F121" s="458"/>
      <c r="G121" s="275"/>
      <c r="H121" s="612"/>
      <c r="I121" s="620"/>
      <c r="J121" s="620"/>
      <c r="K121" s="620"/>
      <c r="L121" s="614"/>
      <c r="M121" s="612"/>
      <c r="N121" s="612"/>
      <c r="O121" s="612"/>
      <c r="P121" s="612"/>
      <c r="Q121" s="612"/>
      <c r="R121" s="612"/>
      <c r="S121" s="612"/>
      <c r="T121" s="285"/>
      <c r="W121" s="285"/>
      <c r="X121" s="285"/>
      <c r="Y121" s="285"/>
      <c r="Z121" s="285"/>
      <c r="AA121" s="285"/>
      <c r="AB121" s="285"/>
      <c r="AC121" s="285"/>
      <c r="AD121" s="285"/>
      <c r="AE121" s="285"/>
    </row>
    <row r="122" spans="1:219" s="284" customFormat="1" ht="9.75" hidden="1" customHeight="1">
      <c r="A122" s="276" t="s">
        <v>145</v>
      </c>
      <c r="B122" s="331">
        <f>IF(OR(B121,B118=0),0,1)</f>
        <v>0</v>
      </c>
      <c r="C122" s="337">
        <f>IF(OR(C121,C118=0),0,1)</f>
        <v>0</v>
      </c>
      <c r="D122" s="337">
        <f>IF(OR(D121,D118=0),0,1)</f>
        <v>0</v>
      </c>
      <c r="E122" s="337">
        <f>IF(OR(E121,E118=0),0,1)</f>
        <v>0</v>
      </c>
      <c r="F122" s="458"/>
      <c r="G122" s="275"/>
      <c r="H122" s="612"/>
      <c r="I122" s="620"/>
      <c r="J122" s="620"/>
      <c r="K122" s="620"/>
      <c r="L122" s="614"/>
      <c r="M122" s="612"/>
      <c r="N122" s="612"/>
      <c r="O122" s="612"/>
      <c r="P122" s="612"/>
      <c r="Q122" s="612"/>
      <c r="R122" s="612"/>
      <c r="S122" s="612"/>
      <c r="T122" s="285"/>
      <c r="W122" s="285"/>
      <c r="X122" s="285"/>
      <c r="Y122" s="285"/>
      <c r="Z122" s="285"/>
      <c r="AA122" s="285"/>
      <c r="AB122" s="285"/>
      <c r="AC122" s="285"/>
      <c r="AD122" s="285"/>
      <c r="AE122" s="285"/>
    </row>
    <row r="123" spans="1:219" s="273" customFormat="1" ht="9.75" hidden="1" customHeight="1">
      <c r="A123" s="276" t="s">
        <v>129</v>
      </c>
      <c r="B123" s="275">
        <f>IF(B118&gt;0,IF(B120=S83,S86,S86+1),S86)</f>
        <v>12</v>
      </c>
      <c r="C123" s="275">
        <f>IF(C118&gt;0,IF(C120=B120,B123,B123+1),B123)</f>
        <v>12</v>
      </c>
      <c r="D123" s="275">
        <f>IF(D118&gt;0,IF(D120=C120,C123,C123+1),C123)</f>
        <v>12</v>
      </c>
      <c r="E123" s="275">
        <f>IF(E118&gt;0,IF(E120=D120,D123,D123+1),D123)</f>
        <v>12</v>
      </c>
      <c r="F123" s="458"/>
      <c r="G123" s="275"/>
      <c r="H123" s="612"/>
      <c r="I123" s="620"/>
      <c r="J123" s="620"/>
      <c r="K123" s="620"/>
      <c r="L123" s="614"/>
      <c r="M123" s="612"/>
      <c r="N123" s="612"/>
      <c r="O123" s="612"/>
      <c r="P123" s="612"/>
      <c r="Q123" s="612"/>
      <c r="R123" s="612"/>
      <c r="S123" s="612"/>
      <c r="T123" s="274"/>
      <c r="U123" s="275">
        <f>MAX(12:12,49:49,86:86,B123:E123)</f>
        <v>12</v>
      </c>
      <c r="W123" s="274"/>
      <c r="X123" s="274"/>
      <c r="Y123" s="274"/>
      <c r="Z123" s="274"/>
      <c r="AA123" s="274"/>
      <c r="AB123" s="274"/>
      <c r="AC123" s="274"/>
      <c r="AD123" s="274"/>
      <c r="AE123" s="274"/>
    </row>
    <row r="124" spans="1:219" s="273" customFormat="1" ht="9.75" hidden="1" customHeight="1" thickBot="1">
      <c r="A124" s="276" t="s">
        <v>130</v>
      </c>
      <c r="B124" s="275">
        <f>IF(ISERROR(B117-S83),0,IF(OR(B117-S83&lt;7,LEN(B116)&gt;9),0,1))</f>
        <v>0</v>
      </c>
      <c r="C124" s="275">
        <f>IF(ISERROR(C117-B117),0,IF(OR(C117-B117&lt;7,LEN(C116)&gt;9),0,1))</f>
        <v>0</v>
      </c>
      <c r="D124" s="275">
        <f>IF(ISERROR(D117-C117),0,IF(OR(D117-C117&lt;7,LEN(D116)&gt;9),0,1))</f>
        <v>0</v>
      </c>
      <c r="E124" s="275">
        <f>IF(ISERROR(E117-D117),0,IF(OR(E117-D117&lt;7,LEN(E116)&gt;9),0,1))</f>
        <v>0</v>
      </c>
      <c r="F124" s="458"/>
      <c r="G124" s="275"/>
      <c r="H124" s="612"/>
      <c r="I124" s="620"/>
      <c r="J124" s="620"/>
      <c r="K124" s="620"/>
      <c r="L124" s="614"/>
      <c r="M124" s="612"/>
      <c r="N124" s="612"/>
      <c r="O124" s="612"/>
      <c r="P124" s="612"/>
      <c r="Q124" s="612"/>
      <c r="R124" s="612"/>
      <c r="S124" s="612"/>
      <c r="T124" s="274"/>
      <c r="U124" s="275">
        <f>SUM(13:13,50:50,87:87,B124:E124)</f>
        <v>12</v>
      </c>
      <c r="W124" s="274"/>
      <c r="X124" s="274"/>
      <c r="Y124" s="274"/>
      <c r="Z124" s="274"/>
      <c r="AA124" s="274"/>
      <c r="AB124" s="274"/>
      <c r="AC124" s="274"/>
      <c r="AD124" s="274"/>
      <c r="AE124" s="274"/>
    </row>
    <row r="125" spans="1:219" s="48" customFormat="1" ht="11.5" hidden="1" thickTop="1" thickBot="1">
      <c r="A125" s="68" t="s">
        <v>16</v>
      </c>
      <c r="B125" s="67"/>
      <c r="C125" s="20"/>
      <c r="D125" s="20"/>
      <c r="E125" s="20"/>
      <c r="F125" s="459"/>
      <c r="G125" s="70"/>
      <c r="H125" s="612"/>
      <c r="I125" s="620"/>
      <c r="J125" s="620"/>
      <c r="K125" s="620"/>
      <c r="L125" s="614"/>
      <c r="M125" s="612"/>
      <c r="N125" s="612"/>
      <c r="O125" s="612"/>
      <c r="P125" s="612"/>
      <c r="Q125" s="612"/>
      <c r="R125" s="612"/>
      <c r="S125" s="612"/>
      <c r="T125" s="69"/>
      <c r="U125" s="1"/>
      <c r="W125" s="69"/>
      <c r="X125" s="69"/>
      <c r="Y125" s="69"/>
      <c r="Z125" s="69"/>
      <c r="AA125" s="69"/>
      <c r="AB125" s="69"/>
      <c r="AC125" s="69"/>
      <c r="AD125" s="69"/>
      <c r="AE125" s="69"/>
    </row>
    <row r="126" spans="1:219" s="48" customFormat="1" ht="7.5" hidden="1" thickTop="1">
      <c r="A126" s="52" t="s">
        <v>25</v>
      </c>
      <c r="B126" s="351"/>
      <c r="C126" s="349"/>
      <c r="D126" s="349"/>
      <c r="E126" s="349"/>
      <c r="F126" s="460"/>
      <c r="G126" s="69"/>
      <c r="H126" s="612"/>
      <c r="I126" s="620"/>
      <c r="J126" s="620"/>
      <c r="K126" s="620"/>
      <c r="L126" s="614"/>
      <c r="M126" s="612"/>
      <c r="N126" s="612"/>
      <c r="O126" s="612"/>
      <c r="P126" s="612"/>
      <c r="Q126" s="612"/>
      <c r="R126" s="612"/>
      <c r="S126" s="612"/>
      <c r="T126" s="69"/>
      <c r="U126" s="54">
        <f>SUM(15:15)+SUM(52:52)+SUM(89:89)+SUM(B126:E126)</f>
        <v>300</v>
      </c>
      <c r="W126" s="69"/>
      <c r="X126" s="69"/>
      <c r="Y126" s="69"/>
      <c r="Z126" s="69"/>
      <c r="AA126" s="69"/>
      <c r="AB126" s="69"/>
      <c r="AC126" s="69"/>
      <c r="AD126" s="69"/>
      <c r="AE126" s="69"/>
    </row>
    <row r="127" spans="1:219" s="48" customFormat="1" hidden="1">
      <c r="A127" s="55" t="s">
        <v>26</v>
      </c>
      <c r="B127" s="354"/>
      <c r="C127" s="352"/>
      <c r="D127" s="352"/>
      <c r="E127" s="352"/>
      <c r="F127" s="460"/>
      <c r="G127" s="69"/>
      <c r="H127" s="612"/>
      <c r="I127" s="620"/>
      <c r="J127" s="620"/>
      <c r="K127" s="620"/>
      <c r="L127" s="614"/>
      <c r="M127" s="612"/>
      <c r="N127" s="612"/>
      <c r="O127" s="612"/>
      <c r="P127" s="612"/>
      <c r="Q127" s="612"/>
      <c r="R127" s="612"/>
      <c r="S127" s="612"/>
      <c r="T127" s="69"/>
      <c r="U127" s="56">
        <f>SUM(16:16)+SUM(53:53)+SUM(90:90)+SUM(B127:E127)</f>
        <v>1385</v>
      </c>
      <c r="W127" s="69"/>
      <c r="X127" s="69"/>
      <c r="Y127" s="69"/>
      <c r="Z127" s="69"/>
      <c r="AA127" s="69"/>
      <c r="AB127" s="69"/>
      <c r="AC127" s="69"/>
      <c r="AD127" s="69"/>
      <c r="AE127" s="69"/>
    </row>
    <row r="128" spans="1:219" s="48" customFormat="1" ht="7.5" hidden="1" thickBot="1">
      <c r="A128" s="112" t="s">
        <v>29</v>
      </c>
      <c r="B128" s="357"/>
      <c r="C128" s="355"/>
      <c r="D128" s="355"/>
      <c r="E128" s="355"/>
      <c r="F128" s="460"/>
      <c r="G128" s="69"/>
      <c r="H128" s="612"/>
      <c r="I128" s="620"/>
      <c r="J128" s="620"/>
      <c r="K128" s="620"/>
      <c r="L128" s="614"/>
      <c r="M128" s="612"/>
      <c r="N128" s="612"/>
      <c r="O128" s="612"/>
      <c r="P128" s="612"/>
      <c r="Q128" s="612"/>
      <c r="R128" s="612"/>
      <c r="S128" s="612"/>
      <c r="T128" s="69"/>
      <c r="U128" s="113">
        <f>SUM(17:17)+SUM(54:54)+SUM(91:91)+SUM(B128:E128)</f>
        <v>1430</v>
      </c>
      <c r="V128" s="308"/>
      <c r="W128" s="69"/>
      <c r="X128" s="69"/>
      <c r="Y128" s="69"/>
      <c r="Z128" s="69"/>
      <c r="AA128" s="69"/>
      <c r="AB128" s="69"/>
      <c r="AC128" s="69"/>
      <c r="AD128" s="69"/>
      <c r="AE128" s="69"/>
    </row>
    <row r="129" spans="1:31" s="48" customFormat="1" ht="11.5" hidden="1" thickTop="1" thickBot="1">
      <c r="A129" s="115" t="s">
        <v>73</v>
      </c>
      <c r="B129" s="56">
        <f>SUM(B126:B128)</f>
        <v>0</v>
      </c>
      <c r="C129" s="74">
        <f>SUM(C126:C128)</f>
        <v>0</v>
      </c>
      <c r="D129" s="74">
        <f>SUM(D126:D128)</f>
        <v>0</v>
      </c>
      <c r="E129" s="74">
        <f>SUM(E126:E128)</f>
        <v>0</v>
      </c>
      <c r="F129" s="461"/>
      <c r="G129" s="69"/>
      <c r="H129" s="612"/>
      <c r="I129" s="620"/>
      <c r="J129" s="620"/>
      <c r="K129" s="620"/>
      <c r="L129" s="614"/>
      <c r="M129" s="612"/>
      <c r="N129" s="612"/>
      <c r="O129" s="612"/>
      <c r="P129" s="612"/>
      <c r="Q129" s="612"/>
      <c r="R129" s="612"/>
      <c r="S129" s="612"/>
      <c r="T129" s="69"/>
      <c r="U129" s="56">
        <f>SUM(18:18)+SUM(55:55)+SUM(92:92)+SUM(B129:E129)</f>
        <v>3115</v>
      </c>
      <c r="W129" s="69"/>
      <c r="X129" s="69"/>
      <c r="Y129" s="69"/>
      <c r="Z129" s="69"/>
      <c r="AA129" s="69"/>
      <c r="AB129" s="69"/>
      <c r="AC129" s="69"/>
      <c r="AD129" s="69"/>
      <c r="AE129" s="69"/>
    </row>
    <row r="130" spans="1:31" s="48" customFormat="1" ht="11.5" hidden="1" thickTop="1" thickBot="1">
      <c r="A130" s="11" t="s">
        <v>75</v>
      </c>
      <c r="B130" s="304" t="str">
        <f ca="1">IF(OR(LEFT(B116,2)="un",B129&lt;&gt;0,B143&lt;&gt;0, B116="",B117&gt;NOW()),"","Acct Due")</f>
        <v/>
      </c>
      <c r="C130" s="316" t="str">
        <f ca="1">IF(OR(LEFT(C116,2)="un",C129&lt;&gt;0,C143&lt;&gt;0, C116="",C117&gt;NOW()),"","Acct Due")</f>
        <v/>
      </c>
      <c r="D130" s="316" t="str">
        <f ca="1">IF(OR(LEFT(D116,2)="un",D129&lt;&gt;0,D143&lt;&gt;0, D116="",D117&gt;NOW()),"","Acct Due")</f>
        <v/>
      </c>
      <c r="E130" s="316" t="str">
        <f ca="1">IF(OR(LEFT(E116,2)="un",E129&lt;&gt;0,E143&lt;&gt;0, E116="",E117&gt;NOW()),"","Acct Due")</f>
        <v/>
      </c>
      <c r="F130" s="462"/>
      <c r="G130" s="294"/>
      <c r="H130" s="612"/>
      <c r="I130" s="620"/>
      <c r="J130" s="620"/>
      <c r="K130" s="620"/>
      <c r="L130" s="614"/>
      <c r="M130" s="612"/>
      <c r="N130" s="612"/>
      <c r="O130" s="612"/>
      <c r="P130" s="612"/>
      <c r="Q130" s="612"/>
      <c r="R130" s="612"/>
      <c r="S130" s="612"/>
      <c r="T130" s="69"/>
      <c r="W130" s="69"/>
      <c r="X130" s="69"/>
      <c r="Y130" s="69"/>
      <c r="Z130" s="69"/>
      <c r="AA130" s="69"/>
      <c r="AB130" s="69"/>
      <c r="AC130" s="69"/>
      <c r="AD130" s="69"/>
      <c r="AE130" s="69"/>
    </row>
    <row r="131" spans="1:31" s="48" customFormat="1" ht="7.5" hidden="1" thickTop="1">
      <c r="A131" s="52" t="s">
        <v>39</v>
      </c>
      <c r="B131" s="351"/>
      <c r="C131" s="349"/>
      <c r="D131" s="349"/>
      <c r="E131" s="349"/>
      <c r="F131" s="460"/>
      <c r="G131" s="69"/>
      <c r="H131" s="612"/>
      <c r="I131" s="620"/>
      <c r="J131" s="620"/>
      <c r="K131" s="620"/>
      <c r="L131" s="614"/>
      <c r="M131" s="612"/>
      <c r="N131" s="612"/>
      <c r="O131" s="612"/>
      <c r="P131" s="612"/>
      <c r="Q131" s="612"/>
      <c r="R131" s="612"/>
      <c r="S131" s="612"/>
      <c r="T131" s="69"/>
      <c r="U131" s="54">
        <f t="shared" ref="U131:U136" si="78">SUM(20:20)+SUM(57:57)+SUM(94:94)+SUM(B131:E131)</f>
        <v>396.65999999999997</v>
      </c>
      <c r="W131" s="69"/>
      <c r="X131" s="69"/>
      <c r="Y131" s="69"/>
      <c r="Z131" s="69"/>
      <c r="AA131" s="69"/>
      <c r="AB131" s="69"/>
      <c r="AC131" s="69"/>
      <c r="AD131" s="69"/>
      <c r="AE131" s="69"/>
    </row>
    <row r="132" spans="1:31" s="48" customFormat="1" hidden="1">
      <c r="A132" s="55" t="s">
        <v>40</v>
      </c>
      <c r="B132" s="354"/>
      <c r="C132" s="352"/>
      <c r="D132" s="352"/>
      <c r="E132" s="352"/>
      <c r="F132" s="460"/>
      <c r="G132" s="69"/>
      <c r="H132" s="612"/>
      <c r="I132" s="620"/>
      <c r="J132" s="620"/>
      <c r="K132" s="620"/>
      <c r="L132" s="614"/>
      <c r="M132" s="612"/>
      <c r="N132" s="612"/>
      <c r="O132" s="612"/>
      <c r="P132" s="612"/>
      <c r="Q132" s="612"/>
      <c r="R132" s="612"/>
      <c r="S132" s="612"/>
      <c r="T132" s="69"/>
      <c r="U132" s="56">
        <f t="shared" si="78"/>
        <v>430.21</v>
      </c>
      <c r="W132" s="69"/>
      <c r="X132" s="69"/>
      <c r="Y132" s="69"/>
      <c r="Z132" s="69"/>
      <c r="AA132" s="69"/>
      <c r="AB132" s="69"/>
      <c r="AC132" s="69"/>
      <c r="AD132" s="69"/>
      <c r="AE132" s="69"/>
    </row>
    <row r="133" spans="1:31" s="48" customFormat="1" hidden="1">
      <c r="A133" s="55" t="s">
        <v>41</v>
      </c>
      <c r="B133" s="354"/>
      <c r="C133" s="352"/>
      <c r="D133" s="352"/>
      <c r="E133" s="352"/>
      <c r="F133" s="460"/>
      <c r="G133" s="69"/>
      <c r="H133" s="612"/>
      <c r="I133" s="620"/>
      <c r="J133" s="620"/>
      <c r="K133" s="620"/>
      <c r="L133" s="614"/>
      <c r="M133" s="612"/>
      <c r="N133" s="612"/>
      <c r="O133" s="612"/>
      <c r="P133" s="612"/>
      <c r="Q133" s="612"/>
      <c r="R133" s="612"/>
      <c r="S133" s="612"/>
      <c r="T133" s="69"/>
      <c r="U133" s="56">
        <f t="shared" si="78"/>
        <v>49.5</v>
      </c>
      <c r="W133" s="69"/>
      <c r="X133" s="69"/>
      <c r="Y133" s="69"/>
      <c r="Z133" s="69"/>
      <c r="AA133" s="69"/>
      <c r="AB133" s="69"/>
      <c r="AC133" s="69"/>
      <c r="AD133" s="69"/>
      <c r="AE133" s="69"/>
    </row>
    <row r="134" spans="1:31" s="48" customFormat="1" hidden="1">
      <c r="A134" s="57" t="s">
        <v>43</v>
      </c>
      <c r="B134" s="101">
        <f>'OTHER COSTS'!BD82</f>
        <v>0</v>
      </c>
      <c r="C134" s="101"/>
      <c r="D134" s="101"/>
      <c r="E134" s="101"/>
      <c r="F134" s="461"/>
      <c r="G134" s="69"/>
      <c r="H134" s="612"/>
      <c r="I134" s="620"/>
      <c r="J134" s="620"/>
      <c r="K134" s="620"/>
      <c r="L134" s="614"/>
      <c r="M134" s="612"/>
      <c r="N134" s="612"/>
      <c r="O134" s="612"/>
      <c r="P134" s="612"/>
      <c r="Q134" s="612"/>
      <c r="R134" s="612"/>
      <c r="S134" s="612"/>
      <c r="T134" s="69"/>
      <c r="U134" s="101">
        <f t="shared" si="78"/>
        <v>9.9499999999999993</v>
      </c>
      <c r="W134" s="69"/>
      <c r="X134" s="69"/>
      <c r="Y134" s="69"/>
      <c r="Z134" s="69"/>
      <c r="AA134" s="69"/>
      <c r="AB134" s="69"/>
      <c r="AC134" s="69"/>
      <c r="AD134" s="69"/>
      <c r="AE134" s="69"/>
    </row>
    <row r="135" spans="1:31" s="48" customFormat="1" hidden="1">
      <c r="A135" s="92" t="s">
        <v>44</v>
      </c>
      <c r="B135" s="51">
        <f>SUM(B131:B134)</f>
        <v>0</v>
      </c>
      <c r="C135" s="47">
        <f>SUM(C131:C134)</f>
        <v>0</v>
      </c>
      <c r="D135" s="47">
        <f>SUM(D131:D134)</f>
        <v>0</v>
      </c>
      <c r="E135" s="47">
        <f>SUM(E131:E134)</f>
        <v>0</v>
      </c>
      <c r="F135" s="461"/>
      <c r="G135" s="69"/>
      <c r="H135" s="612"/>
      <c r="I135" s="620"/>
      <c r="J135" s="620"/>
      <c r="K135" s="620"/>
      <c r="L135" s="614"/>
      <c r="M135" s="612"/>
      <c r="N135" s="612"/>
      <c r="O135" s="612"/>
      <c r="P135" s="612"/>
      <c r="Q135" s="612"/>
      <c r="R135" s="612"/>
      <c r="S135" s="612"/>
      <c r="T135" s="69"/>
      <c r="U135" s="51">
        <f t="shared" si="78"/>
        <v>886.31999999999994</v>
      </c>
      <c r="W135" s="69"/>
      <c r="X135" s="69"/>
      <c r="Y135" s="69"/>
      <c r="Z135" s="69"/>
      <c r="AA135" s="69"/>
      <c r="AB135" s="69"/>
      <c r="AC135" s="69"/>
      <c r="AD135" s="69"/>
      <c r="AE135" s="69"/>
    </row>
    <row r="136" spans="1:31" s="48" customFormat="1" ht="7.5" hidden="1" thickBot="1">
      <c r="A136" s="93" t="s">
        <v>90</v>
      </c>
      <c r="B136" s="387"/>
      <c r="C136" s="359"/>
      <c r="D136" s="359"/>
      <c r="E136" s="359"/>
      <c r="F136" s="461"/>
      <c r="G136" s="69"/>
      <c r="H136" s="612"/>
      <c r="I136" s="620"/>
      <c r="J136" s="620"/>
      <c r="K136" s="620"/>
      <c r="L136" s="614"/>
      <c r="M136" s="612"/>
      <c r="N136" s="612"/>
      <c r="O136" s="612"/>
      <c r="P136" s="612"/>
      <c r="Q136" s="612"/>
      <c r="R136" s="612"/>
      <c r="S136" s="612"/>
      <c r="T136" s="69"/>
      <c r="U136" s="243">
        <f t="shared" si="78"/>
        <v>350.9</v>
      </c>
      <c r="W136" s="69"/>
      <c r="X136" s="69"/>
      <c r="Y136" s="69"/>
      <c r="Z136" s="69"/>
      <c r="AA136" s="69"/>
      <c r="AB136" s="69"/>
      <c r="AC136" s="69"/>
      <c r="AD136" s="69"/>
      <c r="AE136" s="69"/>
    </row>
    <row r="137" spans="1:31" s="48" customFormat="1" ht="11.5" hidden="1" thickTop="1" thickBot="1">
      <c r="A137" s="94" t="s">
        <v>76</v>
      </c>
      <c r="B137" s="81"/>
      <c r="C137" s="366" t="str">
        <f>IF(OR(LEFT(C125,2)="un",C134&lt;&gt;0,C150&lt;&gt;0, C125=""),"","Acct Due")</f>
        <v/>
      </c>
      <c r="D137" s="366" t="str">
        <f>IF(OR(LEFT(D125,2)="un",D134&lt;&gt;0,D150&lt;&gt;0, D125=""),"","Acct Due")</f>
        <v/>
      </c>
      <c r="E137" s="366" t="str">
        <f>IF(OR(LEFT(E125,2)="un",E134&lt;&gt;0,E150&lt;&gt;0, E125=""),"","Acct Due")</f>
        <v/>
      </c>
      <c r="F137" s="461"/>
      <c r="G137" s="69"/>
      <c r="H137" s="612"/>
      <c r="I137" s="620"/>
      <c r="J137" s="620"/>
      <c r="K137" s="620"/>
      <c r="L137" s="614"/>
      <c r="M137" s="612"/>
      <c r="N137" s="612"/>
      <c r="O137" s="612"/>
      <c r="P137" s="612"/>
      <c r="Q137" s="612"/>
      <c r="R137" s="612"/>
      <c r="S137" s="612"/>
      <c r="T137" s="69"/>
      <c r="U137" s="116"/>
      <c r="W137" s="69"/>
      <c r="X137" s="69"/>
      <c r="Y137" s="69"/>
      <c r="Z137" s="69"/>
      <c r="AA137" s="69"/>
      <c r="AB137" s="69"/>
      <c r="AC137" s="69"/>
      <c r="AD137" s="69"/>
      <c r="AE137" s="69"/>
    </row>
    <row r="138" spans="1:31" s="48" customFormat="1" ht="7.5" hidden="1" thickTop="1">
      <c r="A138" s="52" t="s">
        <v>49</v>
      </c>
      <c r="B138" s="54">
        <f>MAINTENANCE!BE62</f>
        <v>0</v>
      </c>
      <c r="C138" s="54">
        <f>MAINTENANCE!AN99</f>
        <v>0</v>
      </c>
      <c r="D138" s="54">
        <f>MAINTENANCE!AO99</f>
        <v>0</v>
      </c>
      <c r="E138" s="54">
        <f>MAINTENANCE!AP99</f>
        <v>0</v>
      </c>
      <c r="F138" s="461"/>
      <c r="G138" s="69"/>
      <c r="H138" s="612"/>
      <c r="I138" s="620"/>
      <c r="J138" s="620"/>
      <c r="K138" s="620"/>
      <c r="L138" s="614"/>
      <c r="M138" s="612"/>
      <c r="N138" s="612"/>
      <c r="O138" s="612"/>
      <c r="P138" s="612"/>
      <c r="Q138" s="612"/>
      <c r="R138" s="612"/>
      <c r="S138" s="612"/>
      <c r="T138" s="69"/>
      <c r="U138" s="54">
        <f t="shared" ref="U138:U143" si="79">SUM(27:27)+SUM(64:64)+SUM(101:101)+SUM(B138:E138)</f>
        <v>551.74</v>
      </c>
      <c r="W138" s="69"/>
      <c r="X138" s="69"/>
      <c r="Y138" s="69"/>
      <c r="Z138" s="69"/>
      <c r="AA138" s="69"/>
      <c r="AB138" s="69"/>
      <c r="AC138" s="69"/>
      <c r="AD138" s="69"/>
      <c r="AE138" s="69"/>
    </row>
    <row r="139" spans="1:31" s="48" customFormat="1" hidden="1">
      <c r="A139" s="55" t="s">
        <v>133</v>
      </c>
      <c r="B139" s="56">
        <f>'OTHER COSTS'!BD41+'OTHER COSTS'!BD48</f>
        <v>0</v>
      </c>
      <c r="C139" s="74">
        <f>'OTHER COSTS'!AM86+'OTHER COSTS'!AM93</f>
        <v>0</v>
      </c>
      <c r="D139" s="74">
        <f>'OTHER COSTS'!AN86+'OTHER COSTS'!AN93</f>
        <v>0</v>
      </c>
      <c r="E139" s="74">
        <f>'OTHER COSTS'!AO86+'OTHER COSTS'!AO93</f>
        <v>0</v>
      </c>
      <c r="F139" s="461"/>
      <c r="G139" s="69"/>
      <c r="H139" s="612"/>
      <c r="I139" s="620"/>
      <c r="J139" s="620"/>
      <c r="K139" s="620"/>
      <c r="L139" s="614"/>
      <c r="M139" s="612"/>
      <c r="N139" s="612"/>
      <c r="O139" s="612"/>
      <c r="P139" s="612"/>
      <c r="Q139" s="612"/>
      <c r="R139" s="612"/>
      <c r="S139" s="612"/>
      <c r="T139" s="69"/>
      <c r="U139" s="56">
        <f t="shared" si="79"/>
        <v>387.66999999999996</v>
      </c>
      <c r="W139" s="69"/>
      <c r="X139" s="69"/>
      <c r="Y139" s="69"/>
      <c r="Z139" s="69"/>
      <c r="AA139" s="69"/>
      <c r="AB139" s="69"/>
      <c r="AC139" s="69"/>
      <c r="AD139" s="69"/>
      <c r="AE139" s="69"/>
    </row>
    <row r="140" spans="1:31" s="48" customFormat="1" hidden="1">
      <c r="A140" s="55" t="s">
        <v>81</v>
      </c>
      <c r="B140" s="56">
        <f>'OTHER COSTS'!BD59</f>
        <v>0</v>
      </c>
      <c r="C140" s="56">
        <f>'OTHER COSTS'!AM104</f>
        <v>0</v>
      </c>
      <c r="D140" s="56">
        <f>'OTHER COSTS'!AN104</f>
        <v>0</v>
      </c>
      <c r="E140" s="56">
        <f>'OTHER COSTS'!AO104</f>
        <v>0</v>
      </c>
      <c r="F140" s="461"/>
      <c r="G140" s="69"/>
      <c r="H140" s="612"/>
      <c r="I140" s="620"/>
      <c r="J140" s="620"/>
      <c r="K140" s="620"/>
      <c r="L140" s="614"/>
      <c r="M140" s="612"/>
      <c r="N140" s="612"/>
      <c r="O140" s="612"/>
      <c r="P140" s="612"/>
      <c r="Q140" s="612"/>
      <c r="R140" s="612"/>
      <c r="S140" s="612"/>
      <c r="T140" s="69"/>
      <c r="U140" s="45">
        <f t="shared" si="79"/>
        <v>0</v>
      </c>
      <c r="W140" s="69"/>
      <c r="X140" s="69"/>
      <c r="Y140" s="69"/>
      <c r="Z140" s="69"/>
      <c r="AA140" s="69"/>
      <c r="AB140" s="69"/>
      <c r="AC140" s="69"/>
      <c r="AD140" s="69"/>
      <c r="AE140" s="69"/>
    </row>
    <row r="141" spans="1:31" s="48" customFormat="1" hidden="1">
      <c r="A141" s="57" t="s">
        <v>51</v>
      </c>
      <c r="B141" s="362"/>
      <c r="C141" s="360"/>
      <c r="D141" s="360"/>
      <c r="E141" s="360"/>
      <c r="F141" s="460"/>
      <c r="G141" s="69"/>
      <c r="H141" s="612"/>
      <c r="I141" s="620"/>
      <c r="J141" s="620"/>
      <c r="K141" s="620"/>
      <c r="L141" s="614"/>
      <c r="M141" s="612"/>
      <c r="N141" s="612"/>
      <c r="O141" s="612"/>
      <c r="P141" s="612"/>
      <c r="Q141" s="612"/>
      <c r="R141" s="612"/>
      <c r="S141" s="612"/>
      <c r="T141" s="69"/>
      <c r="U141" s="253">
        <f t="shared" si="79"/>
        <v>2642.02</v>
      </c>
      <c r="W141" s="69"/>
      <c r="X141" s="69"/>
      <c r="Y141" s="69"/>
      <c r="Z141" s="69"/>
      <c r="AA141" s="69"/>
      <c r="AB141" s="69"/>
      <c r="AC141" s="69"/>
      <c r="AD141" s="69"/>
      <c r="AE141" s="69"/>
    </row>
    <row r="142" spans="1:31" s="48" customFormat="1" ht="7.5" hidden="1" thickBot="1">
      <c r="A142" s="92" t="s">
        <v>77</v>
      </c>
      <c r="B142" s="51">
        <f>SUM(B138:B141)</f>
        <v>0</v>
      </c>
      <c r="C142" s="47">
        <f>SUM(C138:C141)</f>
        <v>0</v>
      </c>
      <c r="D142" s="47">
        <f>SUM(D138:D141)</f>
        <v>0</v>
      </c>
      <c r="E142" s="47">
        <f>SUM(E138:E141)</f>
        <v>0</v>
      </c>
      <c r="F142" s="461"/>
      <c r="G142" s="69"/>
      <c r="H142" s="612"/>
      <c r="I142" s="620"/>
      <c r="J142" s="620"/>
      <c r="K142" s="620"/>
      <c r="L142" s="614"/>
      <c r="M142" s="612"/>
      <c r="N142" s="612"/>
      <c r="O142" s="612"/>
      <c r="P142" s="612"/>
      <c r="Q142" s="612"/>
      <c r="R142" s="612"/>
      <c r="S142" s="612"/>
      <c r="T142" s="69"/>
      <c r="U142" s="28">
        <f t="shared" si="79"/>
        <v>3581.4300000000003</v>
      </c>
      <c r="W142" s="69"/>
      <c r="X142" s="69"/>
      <c r="Y142" s="69"/>
      <c r="Z142" s="69"/>
      <c r="AA142" s="69"/>
      <c r="AB142" s="69"/>
      <c r="AC142" s="69"/>
      <c r="AD142" s="69"/>
      <c r="AE142" s="69"/>
    </row>
    <row r="143" spans="1:31" s="48" customFormat="1" ht="11.5" hidden="1" thickTop="1" thickBot="1">
      <c r="A143" s="302" t="s">
        <v>55</v>
      </c>
      <c r="B143" s="54">
        <f>SUM(B136:B141)+B135</f>
        <v>0</v>
      </c>
      <c r="C143" s="85">
        <f>SUM(C136:C141)+C135</f>
        <v>0</v>
      </c>
      <c r="D143" s="85">
        <f>SUM(D136:D141)+D135</f>
        <v>0</v>
      </c>
      <c r="E143" s="85">
        <f>SUM(E136:E141)+E135</f>
        <v>0</v>
      </c>
      <c r="F143" s="461"/>
      <c r="G143" s="69"/>
      <c r="H143" s="612"/>
      <c r="I143" s="620"/>
      <c r="J143" s="620"/>
      <c r="K143" s="620"/>
      <c r="L143" s="614"/>
      <c r="M143" s="612"/>
      <c r="N143" s="612"/>
      <c r="O143" s="612"/>
      <c r="P143" s="612"/>
      <c r="Q143" s="612"/>
      <c r="R143" s="612"/>
      <c r="S143" s="612"/>
      <c r="T143" s="69"/>
      <c r="U143" s="254">
        <f t="shared" si="79"/>
        <v>4818.6499999999996</v>
      </c>
      <c r="W143" s="69"/>
      <c r="X143" s="69"/>
      <c r="Y143" s="69"/>
      <c r="Z143" s="69"/>
      <c r="AA143" s="69"/>
      <c r="AB143" s="69"/>
      <c r="AC143" s="69"/>
      <c r="AD143" s="69"/>
      <c r="AE143" s="69"/>
    </row>
    <row r="144" spans="1:31" s="48" customFormat="1" ht="8" hidden="1" thickTop="1" thickBot="1">
      <c r="A144" s="306" t="s">
        <v>139</v>
      </c>
      <c r="B144" s="310">
        <f>B129-B143</f>
        <v>0</v>
      </c>
      <c r="C144" s="307">
        <f>C129-C143</f>
        <v>0</v>
      </c>
      <c r="D144" s="307">
        <f>D129-D143</f>
        <v>0</v>
      </c>
      <c r="E144" s="307">
        <f>E129-E143</f>
        <v>0</v>
      </c>
      <c r="F144" s="463"/>
      <c r="G144" s="116"/>
      <c r="H144" s="613"/>
      <c r="I144" s="614"/>
      <c r="J144" s="614"/>
      <c r="K144" s="614"/>
      <c r="L144" s="615"/>
      <c r="M144" s="461"/>
      <c r="N144" s="461"/>
      <c r="O144" s="461"/>
      <c r="P144" s="461"/>
      <c r="Q144" s="461"/>
      <c r="R144" s="461"/>
      <c r="S144" s="461"/>
      <c r="T144" s="69"/>
      <c r="U144" s="534">
        <f>SUM(M144:S144)</f>
        <v>0</v>
      </c>
      <c r="W144" s="69"/>
      <c r="X144" s="69"/>
      <c r="Y144" s="69"/>
      <c r="Z144" s="69"/>
      <c r="AA144" s="69"/>
      <c r="AB144" s="69"/>
      <c r="AC144" s="69"/>
      <c r="AD144" s="69"/>
      <c r="AE144" s="69"/>
    </row>
    <row r="145" spans="1:31" s="48" customFormat="1" ht="8" hidden="1" thickTop="1" thickBot="1">
      <c r="A145" s="96" t="s">
        <v>138</v>
      </c>
      <c r="B145" s="480" t="str">
        <f>IF(B144=0,"","post bal.")</f>
        <v/>
      </c>
      <c r="C145" s="363" t="str">
        <f>IF(C144=0,"","post bal.")</f>
        <v/>
      </c>
      <c r="D145" s="363" t="str">
        <f>IF(D144=0,"","post bal.")</f>
        <v/>
      </c>
      <c r="E145" s="363" t="str">
        <f>IF(E144=0,"","post bal.")</f>
        <v/>
      </c>
      <c r="F145" s="464"/>
      <c r="G145" s="293"/>
      <c r="H145" s="613"/>
      <c r="I145" s="613"/>
      <c r="J145" s="613"/>
      <c r="K145" s="613"/>
      <c r="L145" s="616"/>
      <c r="M145" s="617"/>
      <c r="N145" s="618"/>
      <c r="O145" s="618"/>
      <c r="P145" s="618"/>
      <c r="Q145" s="618"/>
      <c r="R145" s="618"/>
      <c r="S145" s="618"/>
      <c r="T145" s="69"/>
      <c r="U145" s="212"/>
      <c r="W145" s="69"/>
      <c r="X145" s="69"/>
      <c r="Y145" s="69"/>
      <c r="Z145" s="69"/>
      <c r="AA145" s="69"/>
      <c r="AB145" s="69"/>
      <c r="AC145" s="69"/>
      <c r="AD145" s="69"/>
      <c r="AE145" s="69"/>
    </row>
    <row r="146" spans="1:31" s="268" customFormat="1" ht="9.75" hidden="1" customHeight="1" thickTop="1" thickBot="1">
      <c r="A146" s="267" t="s">
        <v>124</v>
      </c>
      <c r="B146" s="270">
        <f>IF(B145="post bal.",B144,0)</f>
        <v>0</v>
      </c>
      <c r="C146" s="270">
        <f>IF(C145="post bal.",C144,0)</f>
        <v>0</v>
      </c>
      <c r="D146" s="270">
        <f>IF(D145="post bal.",D144,0)</f>
        <v>0</v>
      </c>
      <c r="E146" s="270">
        <f>IF(E145="post bal.",E144,0)</f>
        <v>0</v>
      </c>
      <c r="F146" s="270">
        <f>IF(F145="post bal.",F144,0)</f>
        <v>0</v>
      </c>
      <c r="G146" s="270"/>
      <c r="H146" s="270"/>
      <c r="I146" s="270"/>
      <c r="J146" s="270"/>
      <c r="L146" s="270"/>
      <c r="M146" s="270">
        <f t="shared" ref="M146:S146" si="80">IF(M145="post bal.",M144,0)</f>
        <v>0</v>
      </c>
      <c r="N146" s="270">
        <f t="shared" si="80"/>
        <v>0</v>
      </c>
      <c r="O146" s="270">
        <f t="shared" si="80"/>
        <v>0</v>
      </c>
      <c r="P146" s="270">
        <f t="shared" si="80"/>
        <v>0</v>
      </c>
      <c r="Q146" s="270">
        <f t="shared" si="80"/>
        <v>0</v>
      </c>
      <c r="R146" s="270">
        <f t="shared" si="80"/>
        <v>0</v>
      </c>
      <c r="S146" s="270">
        <f t="shared" si="80"/>
        <v>0</v>
      </c>
      <c r="U146" s="268">
        <f>SUM(35:35)+SUM(72:72)+SUM(109:109)+SUM(B146:T146)</f>
        <v>-573.54999999999995</v>
      </c>
      <c r="W146" s="269"/>
      <c r="X146" s="269"/>
      <c r="Y146" s="269"/>
      <c r="Z146" s="269"/>
      <c r="AA146" s="269"/>
      <c r="AB146" s="269"/>
      <c r="AC146" s="269"/>
      <c r="AD146" s="269"/>
      <c r="AE146" s="269"/>
    </row>
    <row r="147" spans="1:31" s="268" customFormat="1" ht="9.75" hidden="1" customHeight="1" thickTop="1" thickBot="1">
      <c r="A147" s="272" t="s">
        <v>125</v>
      </c>
      <c r="B147" s="268">
        <f>IF(B116="Insurance",B141,0)</f>
        <v>0</v>
      </c>
      <c r="C147" s="268">
        <f>IF(C116="Insurance",C141,0)</f>
        <v>0</v>
      </c>
      <c r="D147" s="268">
        <f>IF(D116="Insurance",D141,0)</f>
        <v>0</v>
      </c>
      <c r="E147" s="268">
        <f>IF(E116="Insurance",E141,0)</f>
        <v>0</v>
      </c>
      <c r="F147" s="268">
        <f>IF(F116="Insurance",F141,0)</f>
        <v>0</v>
      </c>
      <c r="H147" s="268">
        <f>IF(H115="Insurance",H141,0)</f>
        <v>0</v>
      </c>
      <c r="I147" s="268">
        <f>IF(I115="Insurance",I141,0)</f>
        <v>0</v>
      </c>
      <c r="J147" s="268">
        <f>IF(J115="Insurance",J141,0)</f>
        <v>0</v>
      </c>
      <c r="M147" s="268">
        <f>IF(M115="Insurance",M141,0)</f>
        <v>0</v>
      </c>
      <c r="N147" s="268">
        <f>IF(N115="Insurance",N141,0)</f>
        <v>0</v>
      </c>
      <c r="O147" s="268">
        <f>IF(O115="Insurance",O141,0)</f>
        <v>0</v>
      </c>
      <c r="Q147" s="268">
        <f>IF(Q115="Insurance",Q141,0)</f>
        <v>0</v>
      </c>
      <c r="R147" s="268">
        <f>IF(R115="Insurance",R141,0)</f>
        <v>0</v>
      </c>
      <c r="S147" s="268">
        <f>IF(S115="Insurance",S141,0)</f>
        <v>0</v>
      </c>
      <c r="U147" s="279">
        <f>SUM(36:36)+SUM(73:73)+SUM(110:110)+SUM(B147:E147)</f>
        <v>266.58999999999997</v>
      </c>
      <c r="W147" s="269"/>
      <c r="X147" s="269"/>
      <c r="Y147" s="269"/>
      <c r="Z147" s="269"/>
      <c r="AA147" s="269"/>
      <c r="AB147" s="269"/>
      <c r="AC147" s="269"/>
      <c r="AD147" s="269"/>
      <c r="AE147" s="269"/>
    </row>
    <row r="148" spans="1:31" s="268" customFormat="1" ht="9.75" hidden="1" customHeight="1" thickTop="1" thickBot="1">
      <c r="A148" s="272" t="s">
        <v>126</v>
      </c>
      <c r="B148" s="268">
        <f>IF(B116="Mooring",B142,0)</f>
        <v>0</v>
      </c>
      <c r="C148" s="268">
        <f>IF(C116="Mooring",C142,0)</f>
        <v>0</v>
      </c>
      <c r="D148" s="268">
        <f>IF(D116="Mooring",D142,0)</f>
        <v>0</v>
      </c>
      <c r="E148" s="268">
        <f>IF(E116="Mooring",E142,0)</f>
        <v>0</v>
      </c>
      <c r="F148" s="268">
        <f>IF(F116="Mooring",F142,0)</f>
        <v>0</v>
      </c>
      <c r="H148" s="268">
        <f>IF(H115="Mooring",#REF!,0)</f>
        <v>0</v>
      </c>
      <c r="I148" s="268">
        <f>IF(I115="Mooring",#REF!,0)</f>
        <v>0</v>
      </c>
      <c r="J148" s="268">
        <f>IF(J115="Mooring",#REF!,0)</f>
        <v>0</v>
      </c>
      <c r="M148" s="268">
        <f>IF(M115="Mooring",#REF!,0)</f>
        <v>0</v>
      </c>
      <c r="N148" s="268">
        <f>IF(N115="Mooring",#REF!,0)</f>
        <v>0</v>
      </c>
      <c r="O148" s="268">
        <f>IF(O115="Mooring",#REF!,0)</f>
        <v>0</v>
      </c>
      <c r="Q148" s="268">
        <f>IF(Q115="Mooring",#REF!,0)</f>
        <v>0</v>
      </c>
      <c r="R148" s="268">
        <f>IF(R115="Mooring",#REF!,0)</f>
        <v>0</v>
      </c>
      <c r="S148" s="268">
        <f>IF(S115="Mooring",#REF!,0)</f>
        <v>0</v>
      </c>
      <c r="U148" s="279">
        <f>SUM(37:37)+SUM(74:74)+SUM(111:111)+SUM(B148:E148)</f>
        <v>573.54999999999995</v>
      </c>
      <c r="W148" s="269"/>
      <c r="X148" s="269"/>
      <c r="Y148" s="269"/>
      <c r="Z148" s="269"/>
      <c r="AA148" s="269"/>
      <c r="AB148" s="269"/>
      <c r="AC148" s="269"/>
      <c r="AD148" s="269"/>
      <c r="AE148" s="269"/>
    </row>
    <row r="149" spans="1:31" s="268" customFormat="1" ht="9.75" hidden="1" customHeight="1" thickTop="1" thickBot="1">
      <c r="A149" s="272" t="s">
        <v>127</v>
      </c>
      <c r="B149" s="268">
        <f>IF(B116="Licence",B143,0)</f>
        <v>0</v>
      </c>
      <c r="C149" s="268">
        <f>IF(C116="Licence",C143,0)</f>
        <v>0</v>
      </c>
      <c r="D149" s="268">
        <f>IF(D116="Licence",D143,0)</f>
        <v>0</v>
      </c>
      <c r="E149" s="268">
        <f>IF(E116="Licence",E143,0)</f>
        <v>0</v>
      </c>
      <c r="F149" s="268">
        <f>IF(F116="Licence",F143,0)</f>
        <v>0</v>
      </c>
      <c r="H149" s="268">
        <f>IF(H115="Licence",#REF!,0)</f>
        <v>0</v>
      </c>
      <c r="I149" s="268">
        <f>IF(I115="Licence",#REF!,0)</f>
        <v>0</v>
      </c>
      <c r="J149" s="268">
        <f>IF(J115="Licence",#REF!,0)</f>
        <v>0</v>
      </c>
      <c r="M149" s="268">
        <f>IF(M115="Licence",#REF!,0)</f>
        <v>0</v>
      </c>
      <c r="N149" s="268">
        <f>IF(N115="Licence",#REF!,0)</f>
        <v>0</v>
      </c>
      <c r="O149" s="268">
        <f>IF(O115="Licence",#REF!,0)</f>
        <v>0</v>
      </c>
      <c r="Q149" s="268">
        <f>IF(Q115="Licence",#REF!,0)</f>
        <v>0</v>
      </c>
      <c r="R149" s="268">
        <f>IF(R115="Licence",#REF!,0)</f>
        <v>0</v>
      </c>
      <c r="S149" s="268">
        <f>IF(S115="Licence",#REF!,0)</f>
        <v>0</v>
      </c>
      <c r="U149" s="279">
        <f>SUM(38:38)+SUM(75:75)+SUM(112:112)+SUM(B149:E149)</f>
        <v>1076.8800000000001</v>
      </c>
      <c r="W149" s="269"/>
      <c r="X149" s="269"/>
      <c r="Y149" s="269"/>
      <c r="Z149" s="269"/>
      <c r="AA149" s="269"/>
      <c r="AB149" s="269"/>
      <c r="AC149" s="269"/>
      <c r="AD149" s="269"/>
      <c r="AE149" s="269"/>
    </row>
    <row r="150" spans="1:31" s="281" customFormat="1" ht="9.75" hidden="1" customHeight="1" thickTop="1" thickBot="1">
      <c r="A150" s="280" t="s">
        <v>128</v>
      </c>
      <c r="B150" s="281">
        <f>B141-SUM(B147:B149)</f>
        <v>0</v>
      </c>
      <c r="C150" s="281">
        <f>C141-SUM(C147:C149)</f>
        <v>0</v>
      </c>
      <c r="D150" s="281">
        <f>D141-SUM(D147:D149)</f>
        <v>0</v>
      </c>
      <c r="E150" s="281">
        <f t="shared" ref="E150:J150" si="81">E141-SUM(E147:E149)</f>
        <v>0</v>
      </c>
      <c r="F150" s="281">
        <f t="shared" si="81"/>
        <v>0</v>
      </c>
      <c r="H150" s="281">
        <f t="shared" si="81"/>
        <v>0</v>
      </c>
      <c r="I150" s="281">
        <f t="shared" si="81"/>
        <v>0</v>
      </c>
      <c r="J150" s="281">
        <f t="shared" si="81"/>
        <v>0</v>
      </c>
      <c r="M150" s="281">
        <f t="shared" ref="M150:S150" si="82">M141-SUM(M147:M149)</f>
        <v>0</v>
      </c>
      <c r="N150" s="281">
        <f t="shared" si="82"/>
        <v>0</v>
      </c>
      <c r="O150" s="281">
        <f t="shared" si="82"/>
        <v>0</v>
      </c>
      <c r="Q150" s="281">
        <f t="shared" si="82"/>
        <v>0</v>
      </c>
      <c r="R150" s="281">
        <f t="shared" si="82"/>
        <v>0</v>
      </c>
      <c r="S150" s="281">
        <f t="shared" si="82"/>
        <v>0</v>
      </c>
      <c r="U150" s="281">
        <f>SUM(39:39)+SUM(76:76)+SUM(113:113)+SUM(B150:E150)</f>
        <v>725</v>
      </c>
    </row>
    <row r="151" spans="1:31" s="48" customFormat="1">
      <c r="B151" s="1"/>
      <c r="C151" s="1"/>
      <c r="D151" s="1"/>
      <c r="E151" s="1"/>
      <c r="F151" s="1"/>
      <c r="G151" s="1"/>
      <c r="H151" s="1"/>
      <c r="I151" s="1"/>
      <c r="W151" s="69"/>
      <c r="X151" s="69"/>
      <c r="Y151" s="69"/>
      <c r="Z151" s="69"/>
      <c r="AA151" s="69"/>
      <c r="AB151" s="69"/>
      <c r="AC151" s="69"/>
      <c r="AD151" s="69"/>
      <c r="AE151" s="69"/>
    </row>
    <row r="152" spans="1:31" s="48" customFormat="1">
      <c r="S152" s="48">
        <f>+SUM(I152:Q152)</f>
        <v>0</v>
      </c>
      <c r="W152" s="69"/>
      <c r="X152" s="69"/>
      <c r="Y152" s="69"/>
      <c r="Z152" s="69"/>
      <c r="AA152" s="69"/>
      <c r="AB152" s="69"/>
      <c r="AC152" s="69"/>
      <c r="AD152" s="69"/>
      <c r="AE152" s="69"/>
    </row>
    <row r="153" spans="1:31" s="48" customFormat="1">
      <c r="S153" s="48">
        <f>SUM(J153:Q153)</f>
        <v>0</v>
      </c>
      <c r="W153" s="69"/>
      <c r="X153" s="69"/>
      <c r="Y153" s="69"/>
      <c r="Z153" s="69"/>
      <c r="AA153" s="69"/>
      <c r="AB153" s="69"/>
      <c r="AC153" s="69"/>
      <c r="AD153" s="69"/>
      <c r="AE153" s="69"/>
    </row>
    <row r="154" spans="1:31" s="48" customFormat="1">
      <c r="W154" s="69"/>
      <c r="X154" s="69"/>
      <c r="Y154" s="69"/>
      <c r="Z154" s="69"/>
      <c r="AA154" s="69"/>
      <c r="AB154" s="69"/>
      <c r="AC154" s="69"/>
      <c r="AD154" s="69"/>
      <c r="AE154" s="69"/>
    </row>
    <row r="155" spans="1:31" s="48" customFormat="1">
      <c r="W155" s="69"/>
      <c r="X155" s="69"/>
      <c r="Y155" s="69"/>
      <c r="Z155" s="69"/>
      <c r="AA155" s="69"/>
      <c r="AB155" s="69"/>
      <c r="AC155" s="69"/>
      <c r="AD155" s="69"/>
      <c r="AE155" s="69"/>
    </row>
    <row r="156" spans="1:31" s="48" customFormat="1">
      <c r="W156" s="69"/>
      <c r="X156" s="69"/>
      <c r="Y156" s="69"/>
      <c r="Z156" s="69"/>
      <c r="AA156" s="69"/>
      <c r="AB156" s="69"/>
      <c r="AC156" s="69"/>
      <c r="AD156" s="69"/>
      <c r="AE156" s="69"/>
    </row>
  </sheetData>
  <mergeCells count="1">
    <mergeCell ref="A1:A3"/>
  </mergeCells>
  <phoneticPr fontId="9" type="noConversion"/>
  <pageMargins left="0.35433070866141736" right="0.35433070866141736" top="0.27559055118110237" bottom="0.27559055118110237" header="0.27559055118110237" footer="0.27559055118110237"/>
  <pageSetup paperSize="9" scale="90" orientation="landscape" verticalDpi="4" r:id="rId1"/>
  <headerFooter alignWithMargins="0">
    <oddHeader xml:space="preserve">&amp;R&amp;"Arial,Bold"&amp;20 </oddHeader>
    <oddFooter>&amp;CPage &amp;P of &amp;N</oddFooter>
  </headerFooter>
  <rowBreaks count="1" manualBreakCount="1">
    <brk id="76" max="21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BU97"/>
  <sheetViews>
    <sheetView showZeros="0" workbookViewId="0">
      <pane xSplit="2" ySplit="4" topLeftCell="G5" activePane="bottomRight" state="frozen"/>
      <selection activeCell="R6" sqref="R6"/>
      <selection pane="topRight" activeCell="R6" sqref="R6"/>
      <selection pane="bottomLeft" activeCell="R6" sqref="R6"/>
      <selection pane="bottomRight" activeCell="AD1" sqref="AD1"/>
    </sheetView>
  </sheetViews>
  <sheetFormatPr defaultRowHeight="7"/>
  <cols>
    <col min="1" max="1" width="3.33203125" style="544" customWidth="1"/>
    <col min="2" max="2" width="77.6640625" style="123" customWidth="1"/>
    <col min="3" max="6" width="11" hidden="1" customWidth="1"/>
    <col min="7" max="10" width="11" customWidth="1"/>
    <col min="11" max="11" width="11" hidden="1" customWidth="1"/>
    <col min="12" max="12" width="11" customWidth="1"/>
    <col min="13" max="21" width="11" hidden="1" customWidth="1"/>
    <col min="22" max="22" width="11" customWidth="1"/>
    <col min="23" max="29" width="11" hidden="1" customWidth="1"/>
    <col min="30" max="30" width="11" customWidth="1"/>
    <col min="31" max="46" width="11" hidden="1" customWidth="1"/>
    <col min="47" max="47" width="11" customWidth="1"/>
    <col min="48" max="69" width="11" hidden="1" customWidth="1"/>
    <col min="70" max="70" width="11" style="126" customWidth="1"/>
    <col min="71" max="71" width="6.6640625" style="126" customWidth="1"/>
    <col min="72" max="72" width="9.6640625" style="126" customWidth="1"/>
  </cols>
  <sheetData>
    <row r="1" spans="1:73" s="1" customFormat="1" ht="35">
      <c r="A1" s="543"/>
      <c r="B1" s="220" t="str">
        <f>Summary!$A$2</f>
        <v>OLYMPIC ACCOUNTS</v>
      </c>
      <c r="AO1" s="70"/>
      <c r="AP1" s="70"/>
      <c r="AQ1" s="70"/>
      <c r="BR1" s="246" t="str">
        <f>Summary!$T$2</f>
        <v>23 January 2020</v>
      </c>
      <c r="BT1" s="70"/>
    </row>
    <row r="2" spans="1:73" s="1" customFormat="1" ht="35.5" thickBot="1">
      <c r="A2" s="543"/>
      <c r="B2" s="221" t="s">
        <v>103</v>
      </c>
      <c r="N2" s="511"/>
      <c r="S2" s="222"/>
      <c r="AO2" s="70"/>
      <c r="AP2" s="70"/>
      <c r="AQ2" s="70"/>
      <c r="BT2" s="70"/>
    </row>
    <row r="3" spans="1:73" ht="11.5" thickTop="1" thickBot="1">
      <c r="A3" s="543"/>
      <c r="B3" s="338" t="s">
        <v>49</v>
      </c>
      <c r="C3" s="286" t="str">
        <f>TRIP_ACCOUNTS!B$5</f>
        <v>Insurance</v>
      </c>
      <c r="D3" s="13" t="str">
        <f>TRIP_ACCOUNTS!C$5</f>
        <v>Licence</v>
      </c>
      <c r="E3" s="13" t="str">
        <f>TRIP_ACCOUNTS!D$5</f>
        <v>Mooring</v>
      </c>
      <c r="F3" s="13" t="str">
        <f>TRIP_ACCOUNTS!E$5</f>
        <v>PB</v>
      </c>
      <c r="G3" s="13" t="str">
        <f>TRIP_ACCOUNTS!F$5</f>
        <v>JGB</v>
      </c>
      <c r="H3" s="13" t="str">
        <f>TRIP_ACCOUNTS!G$5</f>
        <v>CJ/DJ</v>
      </c>
      <c r="I3" s="13" t="str">
        <f>TRIP_ACCOUNTS!H$5</f>
        <v>Atlass</v>
      </c>
      <c r="J3" s="13" t="str">
        <f>TRIP_ACCOUNTS!I$5</f>
        <v>Atlass</v>
      </c>
      <c r="K3" s="13" t="str">
        <f>TRIP_ACCOUNTS!J$5</f>
        <v>Faulkner</v>
      </c>
      <c r="L3" s="13" t="str">
        <f>TRIP_ACCOUNTS!K$5</f>
        <v>PB</v>
      </c>
      <c r="M3" s="13" t="str">
        <f>TRIP_ACCOUNTS!L$5</f>
        <v>PB</v>
      </c>
      <c r="N3" s="13" t="str">
        <f>TRIP_ACCOUNTS!M$5</f>
        <v>DJB</v>
      </c>
      <c r="O3" s="13" t="str">
        <f>TRIP_ACCOUNTS!N$5</f>
        <v>unscheduled</v>
      </c>
      <c r="P3" s="13" t="str">
        <f>TRIP_ACCOUNTS!O$5</f>
        <v>unscheduled</v>
      </c>
      <c r="Q3" s="13" t="str">
        <f>TRIP_ACCOUNTS!P$5</f>
        <v>unscheduled</v>
      </c>
      <c r="R3" s="13" t="str">
        <f>TRIP_ACCOUNTS!Q$5</f>
        <v>unscheduled</v>
      </c>
      <c r="S3" s="13" t="str">
        <f>TRIP_ACCOUNTS!R$5</f>
        <v>unscheduled</v>
      </c>
      <c r="T3" s="13" t="str">
        <f>TRIP_ACCOUNTS!S$5</f>
        <v>unscheduled</v>
      </c>
      <c r="U3" s="13" t="str">
        <f>TRIP_ACCOUNTS!B42</f>
        <v>unscheduled</v>
      </c>
      <c r="V3" s="13" t="str">
        <f>TRIP_ACCOUNTS!C42</f>
        <v>JGC</v>
      </c>
      <c r="W3" s="13" t="str">
        <f>TRIP_ACCOUNTS!D42</f>
        <v>unscheduled</v>
      </c>
      <c r="X3" s="13" t="str">
        <f>TRIP_ACCOUNTS!E42</f>
        <v>unscheduled</v>
      </c>
      <c r="Y3" s="13" t="str">
        <f>TRIP_ACCOUNTS!F42</f>
        <v>unscheduled</v>
      </c>
      <c r="Z3" s="13" t="str">
        <f>TRIP_ACCOUNTS!G42</f>
        <v>D Kee</v>
      </c>
      <c r="AA3" s="13" t="str">
        <f>TRIP_ACCOUNTS!H42</f>
        <v>unscheduled</v>
      </c>
      <c r="AB3" s="13" t="str">
        <f>TRIP_ACCOUNTS!I42</f>
        <v>unscheduled</v>
      </c>
      <c r="AC3" s="13" t="str">
        <f>TRIP_ACCOUNTS!J42</f>
        <v>unscheduled</v>
      </c>
      <c r="AD3" s="13" t="str">
        <f>TRIP_ACCOUNTS!K42</f>
        <v>PB</v>
      </c>
      <c r="AE3" s="13" t="str">
        <f>TRIP_ACCOUNTS!L42</f>
        <v>Atlass</v>
      </c>
      <c r="AF3" s="13" t="str">
        <f>TRIP_ACCOUNTS!M42</f>
        <v>CJ?DJ</v>
      </c>
      <c r="AG3" s="13" t="str">
        <f>TRIP_ACCOUNTS!N42</f>
        <v>unscheduled</v>
      </c>
      <c r="AH3" s="13" t="str">
        <f>TRIP_ACCOUNTS!O42</f>
        <v>PB</v>
      </c>
      <c r="AI3" s="13" t="str">
        <f>TRIP_ACCOUNTS!P42</f>
        <v>CJ/DJ</v>
      </c>
      <c r="AJ3" s="13" t="str">
        <f>TRIP_ACCOUNTS!Q42</f>
        <v>Fisher</v>
      </c>
      <c r="AK3" s="13" t="str">
        <f>TRIP_ACCOUNTS!R42</f>
        <v>unscheduled</v>
      </c>
      <c r="AL3" s="13" t="str">
        <f>TRIP_ACCOUNTS!S42</f>
        <v>unscheduled</v>
      </c>
      <c r="AM3" s="837" t="str">
        <f>TRIP_ACCOUNTS!B79</f>
        <v>unscheduled</v>
      </c>
      <c r="AN3" s="13" t="str">
        <f>TRIP_ACCOUNTS!C79</f>
        <v>unscheduled</v>
      </c>
      <c r="AO3" s="13" t="str">
        <f>TRIP_ACCOUNTS!D79</f>
        <v>unscheduled</v>
      </c>
      <c r="AP3" s="13" t="str">
        <f>TRIP_ACCOUNTS!E79</f>
        <v>unscheduled</v>
      </c>
      <c r="AQ3" s="13" t="str">
        <f>TRIP_ACCOUNTS!F79</f>
        <v>unscheduled</v>
      </c>
      <c r="AR3" s="13" t="str">
        <f>TRIP_ACCOUNTS!G79</f>
        <v>unscheduled</v>
      </c>
      <c r="AS3" s="13" t="str">
        <f>TRIP_ACCOUNTS!H79</f>
        <v>CJ/DJ</v>
      </c>
      <c r="AT3" s="13" t="str">
        <f>TRIP_ACCOUNTS!I79</f>
        <v>unscheduled</v>
      </c>
      <c r="AU3" s="13" t="str">
        <f>TRIP_ACCOUNTS!J79</f>
        <v>Atlass</v>
      </c>
      <c r="AV3" s="13" t="str">
        <f>TRIP_ACCOUNTS!K79</f>
        <v>unscheduled</v>
      </c>
      <c r="AW3" s="13" t="str">
        <f>TRIP_ACCOUNTS!L79</f>
        <v>unscheduled</v>
      </c>
      <c r="AX3" s="13" t="str">
        <f>TRIP_ACCOUNTS!M79</f>
        <v>unscheduled</v>
      </c>
      <c r="AY3" s="13" t="str">
        <f>TRIP_ACCOUNTS!N79</f>
        <v>unscheduled</v>
      </c>
      <c r="AZ3" s="13" t="str">
        <f>TRIP_ACCOUNTS!O79</f>
        <v>DJB</v>
      </c>
      <c r="BA3" s="13" t="str">
        <f>TRIP_ACCOUNTS!P79</f>
        <v>unscheduled</v>
      </c>
      <c r="BB3" s="13" t="str">
        <f>TRIP_ACCOUNTS!Q79</f>
        <v>unscheduled</v>
      </c>
      <c r="BC3" s="13" t="str">
        <f>TRIP_ACCOUNTS!R79</f>
        <v>unscheduled</v>
      </c>
      <c r="BD3" s="13" t="str">
        <f>TRIP_ACCOUNTS!S79</f>
        <v>D Kee</v>
      </c>
      <c r="BE3" s="13" t="str">
        <f>TRIP_ACCOUNTS!B116</f>
        <v>unscheduled</v>
      </c>
      <c r="BF3" s="13" t="str">
        <f>TRIP_ACCOUNTS!C116</f>
        <v>unscheduled</v>
      </c>
      <c r="BG3" s="13" t="str">
        <f>TRIP_ACCOUNTS!D116</f>
        <v>unscheduled</v>
      </c>
      <c r="BH3" s="13" t="str">
        <f>TRIP_ACCOUNTS!E116</f>
        <v>unscheduled</v>
      </c>
      <c r="BI3" s="18">
        <f>TRIP_ACCOUNTS!F116</f>
        <v>0</v>
      </c>
      <c r="BJ3" s="18">
        <f>TRIP_ACCOUNTS!G$116</f>
        <v>0</v>
      </c>
      <c r="BK3" s="18">
        <f>TRIP_ACCOUNTS!H$115</f>
        <v>0</v>
      </c>
      <c r="BL3" s="18">
        <f>TRIP_ACCOUNTS!I$115</f>
        <v>0</v>
      </c>
      <c r="BM3" s="18">
        <f>TRIP_ACCOUNTS!J$115</f>
        <v>0</v>
      </c>
      <c r="BN3" s="18">
        <f>TRIP_ACCOUNTS!L$115</f>
        <v>0</v>
      </c>
      <c r="BO3" s="18" t="e">
        <f>TRIP_ACCOUNTS!#REF!</f>
        <v>#REF!</v>
      </c>
      <c r="BP3" s="18">
        <f>TRIP_ACCOUNTS!M$115</f>
        <v>0</v>
      </c>
      <c r="BQ3" s="18">
        <f>TRIP_ACCOUNTS!N$115</f>
        <v>0</v>
      </c>
      <c r="BR3" s="65"/>
      <c r="BS3" s="90"/>
      <c r="BT3" s="90"/>
      <c r="BU3" s="14"/>
    </row>
    <row r="4" spans="1:73" s="58" customFormat="1" ht="8" thickTop="1" thickBot="1">
      <c r="A4" s="536"/>
      <c r="B4" s="339"/>
      <c r="C4" s="287">
        <f>TRIP_ACCOUNTS!B$6</f>
        <v>43495</v>
      </c>
      <c r="D4" s="180">
        <f>TRIP_ACCOUNTS!C$6</f>
        <v>43719</v>
      </c>
      <c r="E4" s="180">
        <f>TRIP_ACCOUNTS!D$6</f>
        <v>0</v>
      </c>
      <c r="F4" s="180">
        <f>TRIP_ACCOUNTS!E$6</f>
        <v>43495</v>
      </c>
      <c r="G4" s="180">
        <f>TRIP_ACCOUNTS!F$6</f>
        <v>43539</v>
      </c>
      <c r="H4" s="180">
        <f>TRIP_ACCOUNTS!G$6</f>
        <v>43581</v>
      </c>
      <c r="I4" s="180">
        <f>TRIP_ACCOUNTS!H$6</f>
        <v>43584</v>
      </c>
      <c r="J4" s="180">
        <f>TRIP_ACCOUNTS!I$6</f>
        <v>43641</v>
      </c>
      <c r="K4" s="180">
        <f>TRIP_ACCOUNTS!J$6</f>
        <v>43810</v>
      </c>
      <c r="L4" s="180">
        <f>TRIP_ACCOUNTS!K$6</f>
        <v>43581</v>
      </c>
      <c r="M4" s="180">
        <f>TRIP_ACCOUNTS!L$6</f>
        <v>43806</v>
      </c>
      <c r="N4" s="180">
        <f>TRIP_ACCOUNTS!M$6</f>
        <v>43823</v>
      </c>
      <c r="O4" s="180" t="str">
        <f>TRIP_ACCOUNTS!N$6</f>
        <v xml:space="preserve"> </v>
      </c>
      <c r="P4" s="180" t="str">
        <f>TRIP_ACCOUNTS!O$6</f>
        <v xml:space="preserve"> </v>
      </c>
      <c r="Q4" s="180" t="str">
        <f>TRIP_ACCOUNTS!P$6</f>
        <v xml:space="preserve"> </v>
      </c>
      <c r="R4" s="180" t="str">
        <f>TRIP_ACCOUNTS!Q$6</f>
        <v xml:space="preserve"> </v>
      </c>
      <c r="S4" s="180" t="str">
        <f>TRIP_ACCOUNTS!R$6</f>
        <v xml:space="preserve"> </v>
      </c>
      <c r="T4" s="180" t="str">
        <f>TRIP_ACCOUNTS!S$6</f>
        <v xml:space="preserve"> </v>
      </c>
      <c r="U4" s="180">
        <f>TRIP_ACCOUNTS!B43</f>
        <v>43587</v>
      </c>
      <c r="V4" s="180">
        <f>TRIP_ACCOUNTS!C43</f>
        <v>43594</v>
      </c>
      <c r="W4" s="180">
        <f>TRIP_ACCOUNTS!D43</f>
        <v>43601</v>
      </c>
      <c r="X4" s="180">
        <f>TRIP_ACCOUNTS!E43</f>
        <v>43608</v>
      </c>
      <c r="Y4" s="180">
        <f>TRIP_ACCOUNTS!F43</f>
        <v>43615</v>
      </c>
      <c r="Z4" s="180">
        <f>TRIP_ACCOUNTS!G43</f>
        <v>43622</v>
      </c>
      <c r="AA4" s="180">
        <f>TRIP_ACCOUNTS!H43</f>
        <v>43629</v>
      </c>
      <c r="AB4" s="180">
        <f>TRIP_ACCOUNTS!I43</f>
        <v>43636</v>
      </c>
      <c r="AC4" s="180">
        <f>TRIP_ACCOUNTS!J43</f>
        <v>43643</v>
      </c>
      <c r="AD4" s="180">
        <f>TRIP_ACCOUNTS!K43</f>
        <v>43650</v>
      </c>
      <c r="AE4" s="180">
        <f>TRIP_ACCOUNTS!L43</f>
        <v>43657</v>
      </c>
      <c r="AF4" s="180">
        <f>TRIP_ACCOUNTS!M43</f>
        <v>43664</v>
      </c>
      <c r="AG4" s="180">
        <f>TRIP_ACCOUNTS!N43</f>
        <v>43671</v>
      </c>
      <c r="AH4" s="180">
        <f>TRIP_ACCOUNTS!O43</f>
        <v>43678</v>
      </c>
      <c r="AI4" s="180">
        <f>TRIP_ACCOUNTS!P43</f>
        <v>43685</v>
      </c>
      <c r="AJ4" s="180">
        <f>TRIP_ACCOUNTS!Q43</f>
        <v>43692</v>
      </c>
      <c r="AK4" s="180">
        <f>TRIP_ACCOUNTS!R43</f>
        <v>43699</v>
      </c>
      <c r="AL4" s="180">
        <f>TRIP_ACCOUNTS!S43</f>
        <v>43706</v>
      </c>
      <c r="AM4" s="180">
        <f>TRIP_ACCOUNTS!B80</f>
        <v>43713</v>
      </c>
      <c r="AN4" s="180">
        <f>TRIP_ACCOUNTS!C80</f>
        <v>43720</v>
      </c>
      <c r="AO4" s="180">
        <f>TRIP_ACCOUNTS!D80</f>
        <v>43727</v>
      </c>
      <c r="AP4" s="180">
        <f>TRIP_ACCOUNTS!E80</f>
        <v>43705</v>
      </c>
      <c r="AQ4" s="180">
        <f>TRIP_ACCOUNTS!F80</f>
        <v>43712</v>
      </c>
      <c r="AR4" s="180">
        <f>TRIP_ACCOUNTS!G80</f>
        <v>43719</v>
      </c>
      <c r="AS4" s="180">
        <f>TRIP_ACCOUNTS!H80</f>
        <v>43726</v>
      </c>
      <c r="AT4" s="180">
        <f>TRIP_ACCOUNTS!I80</f>
        <v>43733</v>
      </c>
      <c r="AU4" s="180">
        <f>TRIP_ACCOUNTS!J80</f>
        <v>43740</v>
      </c>
      <c r="AV4" s="180">
        <f>TRIP_ACCOUNTS!K80</f>
        <v>43747</v>
      </c>
      <c r="AW4" s="180">
        <f>TRIP_ACCOUNTS!L80</f>
        <v>43754</v>
      </c>
      <c r="AX4" s="180">
        <f>TRIP_ACCOUNTS!M80</f>
        <v>43761</v>
      </c>
      <c r="AY4" s="180">
        <f>TRIP_ACCOUNTS!N80</f>
        <v>43768</v>
      </c>
      <c r="AZ4" s="180">
        <f>TRIP_ACCOUNTS!O80</f>
        <v>43775</v>
      </c>
      <c r="BA4" s="180">
        <f>TRIP_ACCOUNTS!P80</f>
        <v>43782</v>
      </c>
      <c r="BB4" s="180">
        <f>TRIP_ACCOUNTS!Q80</f>
        <v>43789</v>
      </c>
      <c r="BC4" s="180">
        <f>TRIP_ACCOUNTS!R80</f>
        <v>43796</v>
      </c>
      <c r="BD4" s="180">
        <f>TRIP_ACCOUNTS!S80</f>
        <v>43823</v>
      </c>
      <c r="BE4" s="180">
        <f>TRIP_ACCOUNTS!B117</f>
        <v>43830</v>
      </c>
      <c r="BF4" s="180">
        <f>TRIP_ACCOUNTS!C117</f>
        <v>43837</v>
      </c>
      <c r="BG4" s="180">
        <f>TRIP_ACCOUNTS!D117</f>
        <v>43844</v>
      </c>
      <c r="BH4" s="180">
        <f>TRIP_ACCOUNTS!E117</f>
        <v>43851</v>
      </c>
      <c r="BI4" s="179">
        <f>TRIP_ACCOUNTS!F117</f>
        <v>0</v>
      </c>
      <c r="BJ4" s="179">
        <f>TRIP_ACCOUNTS!G$117</f>
        <v>0</v>
      </c>
      <c r="BK4" s="179">
        <f>TRIP_ACCOUNTS!H$116</f>
        <v>0</v>
      </c>
      <c r="BL4" s="179">
        <f>TRIP_ACCOUNTS!I$116</f>
        <v>0</v>
      </c>
      <c r="BM4" s="179">
        <f>TRIP_ACCOUNTS!J$116</f>
        <v>0</v>
      </c>
      <c r="BN4" s="179">
        <f>TRIP_ACCOUNTS!K$116</f>
        <v>0</v>
      </c>
      <c r="BO4" s="179">
        <f>TRIP_ACCOUNTS!L$116</f>
        <v>0</v>
      </c>
      <c r="BP4" s="179">
        <f>TRIP_ACCOUNTS!M$116</f>
        <v>0</v>
      </c>
      <c r="BQ4" s="179">
        <f>TRIP_ACCOUNTS!N$116</f>
        <v>0</v>
      </c>
      <c r="BR4" s="181"/>
      <c r="BS4" s="245"/>
      <c r="BT4" s="245"/>
      <c r="BU4" s="183" t="s">
        <v>74</v>
      </c>
    </row>
    <row r="5" spans="1:73" s="296" customFormat="1" ht="7.5" thickTop="1">
      <c r="A5" s="542">
        <v>8</v>
      </c>
      <c r="B5" s="634" t="str">
        <f>+Summary!A54</f>
        <v xml:space="preserve">  JOBS TO BE DONE EVERY YEAR</v>
      </c>
      <c r="C5" s="442"/>
      <c r="D5" s="443"/>
      <c r="E5" s="443"/>
      <c r="F5" s="443"/>
      <c r="G5" s="443"/>
      <c r="H5" s="443"/>
      <c r="I5" s="443"/>
      <c r="J5" s="443"/>
      <c r="K5" s="443"/>
      <c r="L5" s="443"/>
      <c r="M5" s="443"/>
      <c r="N5" s="443"/>
      <c r="O5" s="443"/>
      <c r="P5" s="443"/>
      <c r="Q5" s="443"/>
      <c r="R5" s="443"/>
      <c r="S5" s="443"/>
      <c r="T5" s="443"/>
      <c r="U5" s="443"/>
      <c r="V5" s="443"/>
      <c r="W5" s="443"/>
      <c r="X5" s="443"/>
      <c r="Y5" s="443"/>
      <c r="Z5" s="443"/>
      <c r="AA5" s="443"/>
      <c r="AB5" s="443"/>
      <c r="AC5" s="443"/>
      <c r="AD5" s="443"/>
      <c r="AE5" s="443"/>
      <c r="AF5" s="443"/>
      <c r="AG5" s="443"/>
      <c r="AH5" s="443"/>
      <c r="AI5" s="443"/>
      <c r="AJ5" s="443"/>
      <c r="AK5" s="443"/>
      <c r="AL5" s="443"/>
      <c r="AM5" s="443"/>
      <c r="AN5" s="443"/>
      <c r="AO5" s="443"/>
      <c r="AP5" s="443"/>
      <c r="AQ5" s="443"/>
      <c r="AR5" s="443"/>
      <c r="AS5" s="443"/>
      <c r="AT5" s="443"/>
      <c r="AU5" s="443"/>
      <c r="AV5" s="443"/>
      <c r="AW5" s="443"/>
      <c r="AX5" s="443"/>
      <c r="AY5" s="443"/>
      <c r="AZ5" s="443"/>
      <c r="BA5" s="443"/>
      <c r="BB5" s="443"/>
      <c r="BC5" s="443"/>
      <c r="BD5" s="443"/>
      <c r="BE5" s="443"/>
      <c r="BF5" s="443"/>
      <c r="BG5" s="443"/>
      <c r="BH5" s="443"/>
      <c r="BI5" s="443"/>
      <c r="BJ5" s="368"/>
      <c r="BK5" s="368"/>
      <c r="BL5" s="368"/>
      <c r="BM5" s="368"/>
      <c r="BN5" s="368"/>
      <c r="BO5" s="368"/>
      <c r="BP5" s="368"/>
      <c r="BQ5" s="368"/>
      <c r="BR5" s="369"/>
      <c r="BS5" s="120"/>
      <c r="BT5" s="120"/>
      <c r="BU5" s="34">
        <f t="shared" ref="BU5:BU34" si="0">SUM(D5:BQ5)</f>
        <v>0</v>
      </c>
    </row>
    <row r="6" spans="1:73" s="296" customFormat="1">
      <c r="A6" s="541">
        <v>3</v>
      </c>
      <c r="B6" s="630" t="str">
        <f>+Summary!A55</f>
        <v xml:space="preserve">Working w/e food </v>
      </c>
      <c r="C6" s="444"/>
      <c r="D6" s="445"/>
      <c r="E6" s="445"/>
      <c r="F6" s="445"/>
      <c r="G6" s="445"/>
      <c r="H6" s="445">
        <v>16.03</v>
      </c>
      <c r="I6" s="445"/>
      <c r="J6" s="445"/>
      <c r="K6" s="445"/>
      <c r="L6" s="445"/>
      <c r="M6" s="445"/>
      <c r="N6" s="445"/>
      <c r="O6" s="445"/>
      <c r="P6" s="445"/>
      <c r="Q6" s="445"/>
      <c r="R6" s="445"/>
      <c r="S6" s="445"/>
      <c r="T6" s="445"/>
      <c r="U6" s="445"/>
      <c r="V6" s="445"/>
      <c r="W6" s="445"/>
      <c r="X6" s="445"/>
      <c r="Y6" s="445"/>
      <c r="Z6" s="445"/>
      <c r="AA6" s="445"/>
      <c r="AB6" s="445"/>
      <c r="AC6" s="445"/>
      <c r="AD6" s="445"/>
      <c r="AE6" s="445"/>
      <c r="AF6" s="445"/>
      <c r="AG6" s="445"/>
      <c r="AH6" s="445"/>
      <c r="AI6" s="445"/>
      <c r="AJ6" s="445"/>
      <c r="AK6" s="445"/>
      <c r="AL6" s="445"/>
      <c r="AM6" s="445"/>
      <c r="AN6" s="445"/>
      <c r="AO6" s="445"/>
      <c r="AP6" s="445"/>
      <c r="AQ6" s="445"/>
      <c r="AR6" s="445"/>
      <c r="AS6" s="445"/>
      <c r="AT6" s="445"/>
      <c r="AU6" s="445"/>
      <c r="AV6" s="445"/>
      <c r="AW6" s="445"/>
      <c r="AX6" s="445"/>
      <c r="AY6" s="445"/>
      <c r="AZ6" s="445"/>
      <c r="BA6" s="445"/>
      <c r="BB6" s="445"/>
      <c r="BC6" s="445"/>
      <c r="BD6" s="445"/>
      <c r="BE6" s="445"/>
      <c r="BF6" s="445"/>
      <c r="BG6" s="445"/>
      <c r="BH6" s="445"/>
      <c r="BI6" s="445"/>
      <c r="BJ6" s="370"/>
      <c r="BK6" s="370"/>
      <c r="BL6" s="370"/>
      <c r="BM6" s="370"/>
      <c r="BN6" s="370"/>
      <c r="BO6" s="370"/>
      <c r="BP6" s="370"/>
      <c r="BQ6" s="370"/>
      <c r="BR6" s="371"/>
      <c r="BS6" s="120"/>
      <c r="BT6" s="120"/>
      <c r="BU6" s="34">
        <f t="shared" si="0"/>
        <v>16.03</v>
      </c>
    </row>
    <row r="7" spans="1:73" s="296" customFormat="1">
      <c r="A7" s="540">
        <v>4</v>
      </c>
      <c r="B7" s="630" t="str">
        <f>+Summary!A56</f>
        <v>Replace batteries in CO detector (due 2019)</v>
      </c>
      <c r="C7" s="444"/>
      <c r="D7" s="445"/>
      <c r="E7" s="445"/>
      <c r="F7" s="445"/>
      <c r="G7" s="445"/>
      <c r="H7" s="445"/>
      <c r="I7" s="445"/>
      <c r="J7" s="445"/>
      <c r="K7" s="445"/>
      <c r="L7" s="445"/>
      <c r="M7" s="445"/>
      <c r="N7" s="445"/>
      <c r="O7" s="445"/>
      <c r="P7" s="445"/>
      <c r="Q7" s="445"/>
      <c r="R7" s="445"/>
      <c r="S7" s="445"/>
      <c r="T7" s="445"/>
      <c r="U7" s="445"/>
      <c r="V7" s="445"/>
      <c r="W7" s="445"/>
      <c r="X7" s="445"/>
      <c r="Y7" s="445"/>
      <c r="Z7" s="445"/>
      <c r="AA7" s="445"/>
      <c r="AB7" s="445"/>
      <c r="AC7" s="445"/>
      <c r="AD7" s="445"/>
      <c r="AE7" s="445"/>
      <c r="AF7" s="445"/>
      <c r="AG7" s="445"/>
      <c r="AH7" s="445"/>
      <c r="AI7" s="445"/>
      <c r="AJ7" s="445"/>
      <c r="AK7" s="445"/>
      <c r="AL7" s="445"/>
      <c r="AM7" s="445"/>
      <c r="AN7" s="445"/>
      <c r="AO7" s="445"/>
      <c r="AP7" s="445"/>
      <c r="AQ7" s="445"/>
      <c r="AR7" s="445"/>
      <c r="AS7" s="445"/>
      <c r="AT7" s="445"/>
      <c r="AU7" s="445"/>
      <c r="AV7" s="445"/>
      <c r="AW7" s="445"/>
      <c r="AX7" s="445"/>
      <c r="AY7" s="445"/>
      <c r="AZ7" s="445"/>
      <c r="BA7" s="445"/>
      <c r="BB7" s="445"/>
      <c r="BC7" s="445"/>
      <c r="BD7" s="445"/>
      <c r="BE7" s="445"/>
      <c r="BF7" s="445"/>
      <c r="BG7" s="445"/>
      <c r="BH7" s="445"/>
      <c r="BI7" s="445"/>
      <c r="BJ7" s="370"/>
      <c r="BK7" s="370"/>
      <c r="BL7" s="370"/>
      <c r="BM7" s="370"/>
      <c r="BN7" s="370"/>
      <c r="BO7" s="370"/>
      <c r="BP7" s="370"/>
      <c r="BQ7" s="370"/>
      <c r="BR7" s="371"/>
      <c r="BS7" s="120"/>
      <c r="BT7" s="120"/>
      <c r="BU7" s="34">
        <f t="shared" si="0"/>
        <v>0</v>
      </c>
    </row>
    <row r="8" spans="1:73" s="296" customFormat="1">
      <c r="A8" s="540">
        <v>9</v>
      </c>
      <c r="B8" s="630" t="str">
        <f>+Summary!A57</f>
        <v>Restock pumpout cards (not maintenance - charge to pump out)</v>
      </c>
      <c r="C8" s="444"/>
      <c r="D8" s="445"/>
      <c r="E8" s="445"/>
      <c r="F8" s="445"/>
      <c r="G8" s="445"/>
      <c r="H8" s="445"/>
      <c r="I8" s="445"/>
      <c r="J8" s="445"/>
      <c r="K8" s="445"/>
      <c r="L8" s="445"/>
      <c r="M8" s="445"/>
      <c r="N8" s="445"/>
      <c r="O8" s="445"/>
      <c r="P8" s="445"/>
      <c r="Q8" s="445"/>
      <c r="R8" s="445"/>
      <c r="S8" s="445"/>
      <c r="T8" s="445"/>
      <c r="U8" s="445"/>
      <c r="V8" s="445"/>
      <c r="W8" s="445"/>
      <c r="X8" s="445"/>
      <c r="Y8" s="445"/>
      <c r="Z8" s="445"/>
      <c r="AA8" s="445"/>
      <c r="AB8" s="445"/>
      <c r="AC8" s="445"/>
      <c r="AD8" s="445"/>
      <c r="AE8" s="445"/>
      <c r="AF8" s="445"/>
      <c r="AG8" s="445"/>
      <c r="AH8" s="445"/>
      <c r="AI8" s="445"/>
      <c r="AJ8" s="445"/>
      <c r="AK8" s="445"/>
      <c r="AL8" s="445"/>
      <c r="AM8" s="445"/>
      <c r="AN8" s="445"/>
      <c r="AO8" s="445"/>
      <c r="AP8" s="445"/>
      <c r="AQ8" s="445"/>
      <c r="AR8" s="445"/>
      <c r="AS8" s="445"/>
      <c r="AT8" s="445"/>
      <c r="AU8" s="445"/>
      <c r="AV8" s="445"/>
      <c r="AW8" s="445"/>
      <c r="AX8" s="445"/>
      <c r="AY8" s="445"/>
      <c r="AZ8" s="445"/>
      <c r="BA8" s="445"/>
      <c r="BB8" s="445"/>
      <c r="BC8" s="445"/>
      <c r="BD8" s="445"/>
      <c r="BE8" s="445"/>
      <c r="BF8" s="445"/>
      <c r="BG8" s="445"/>
      <c r="BH8" s="445"/>
      <c r="BI8" s="445"/>
      <c r="BJ8" s="370"/>
      <c r="BK8" s="370"/>
      <c r="BL8" s="370"/>
      <c r="BM8" s="370"/>
      <c r="BN8" s="370"/>
      <c r="BO8" s="370"/>
      <c r="BP8" s="370"/>
      <c r="BQ8" s="370"/>
      <c r="BR8" s="371"/>
      <c r="BS8" s="120"/>
      <c r="BT8" s="120"/>
      <c r="BU8" s="34">
        <f t="shared" si="0"/>
        <v>0</v>
      </c>
    </row>
    <row r="9" spans="1:73" s="296" customFormat="1">
      <c r="A9" s="540">
        <v>10</v>
      </c>
      <c r="B9" s="630" t="str">
        <f>+Summary!A58</f>
        <v>Check operation of, maintain / refurbish both loos.  Front loo loose?</v>
      </c>
      <c r="C9" s="444"/>
      <c r="D9" s="445"/>
      <c r="E9" s="445"/>
      <c r="F9" s="445"/>
      <c r="G9" s="445"/>
      <c r="H9" s="445"/>
      <c r="I9" s="445"/>
      <c r="J9" s="445"/>
      <c r="K9" s="445"/>
      <c r="L9" s="445"/>
      <c r="M9" s="445"/>
      <c r="N9" s="445"/>
      <c r="O9" s="445"/>
      <c r="P9" s="445"/>
      <c r="Q9" s="445"/>
      <c r="R9" s="445"/>
      <c r="S9" s="445"/>
      <c r="T9" s="445"/>
      <c r="U9" s="445"/>
      <c r="V9" s="445"/>
      <c r="W9" s="445"/>
      <c r="X9" s="445"/>
      <c r="Y9" s="445"/>
      <c r="Z9" s="445"/>
      <c r="AA9" s="445"/>
      <c r="AB9" s="445"/>
      <c r="AC9" s="445"/>
      <c r="AD9" s="445"/>
      <c r="AE9" s="445"/>
      <c r="AF9" s="445"/>
      <c r="AG9" s="445"/>
      <c r="AH9" s="445"/>
      <c r="AI9" s="445"/>
      <c r="AJ9" s="445"/>
      <c r="AK9" s="445"/>
      <c r="AL9" s="445"/>
      <c r="AM9" s="445"/>
      <c r="AN9" s="445"/>
      <c r="AO9" s="445"/>
      <c r="AP9" s="445"/>
      <c r="AQ9" s="445"/>
      <c r="AR9" s="445"/>
      <c r="AS9" s="445"/>
      <c r="AT9" s="445"/>
      <c r="AU9" s="445"/>
      <c r="AV9" s="445"/>
      <c r="AW9" s="445"/>
      <c r="AX9" s="445"/>
      <c r="AY9" s="445"/>
      <c r="AZ9" s="445"/>
      <c r="BA9" s="445"/>
      <c r="BB9" s="445"/>
      <c r="BC9" s="445"/>
      <c r="BD9" s="445"/>
      <c r="BE9" s="445"/>
      <c r="BF9" s="445"/>
      <c r="BG9" s="445"/>
      <c r="BH9" s="445"/>
      <c r="BI9" s="445"/>
      <c r="BJ9" s="370"/>
      <c r="BK9" s="370"/>
      <c r="BL9" s="370"/>
      <c r="BM9" s="370"/>
      <c r="BN9" s="370"/>
      <c r="BO9" s="370"/>
      <c r="BP9" s="370"/>
      <c r="BQ9" s="370"/>
      <c r="BR9" s="371"/>
      <c r="BS9" s="120"/>
      <c r="BT9" s="120"/>
      <c r="BU9" s="34">
        <f t="shared" si="0"/>
        <v>0</v>
      </c>
    </row>
    <row r="10" spans="1:73" s="296" customFormat="1">
      <c r="A10" s="540">
        <v>15</v>
      </c>
      <c r="B10" s="630" t="str">
        <f>+Summary!A59</f>
        <v>De-winterise water pump, PSH &amp; shower. 2019 failed diodes &amp; drain pump</v>
      </c>
      <c r="C10" s="444"/>
      <c r="D10" s="445"/>
      <c r="E10" s="445"/>
      <c r="F10" s="445"/>
      <c r="G10" s="445"/>
      <c r="H10" s="445"/>
      <c r="I10" s="445"/>
      <c r="J10" s="445"/>
      <c r="K10" s="445"/>
      <c r="L10" s="445"/>
      <c r="M10" s="445"/>
      <c r="N10" s="445"/>
      <c r="O10" s="445"/>
      <c r="P10" s="445"/>
      <c r="Q10" s="445"/>
      <c r="R10" s="445"/>
      <c r="S10" s="445"/>
      <c r="T10" s="445"/>
      <c r="U10" s="445"/>
      <c r="V10" s="445"/>
      <c r="W10" s="445"/>
      <c r="X10" s="445"/>
      <c r="Y10" s="445"/>
      <c r="Z10" s="445"/>
      <c r="AA10" s="445"/>
      <c r="AB10" s="445"/>
      <c r="AC10" s="445"/>
      <c r="AD10" s="445"/>
      <c r="AE10" s="445"/>
      <c r="AF10" s="445"/>
      <c r="AG10" s="445"/>
      <c r="AH10" s="445"/>
      <c r="AI10" s="445"/>
      <c r="AJ10" s="445"/>
      <c r="AK10" s="445"/>
      <c r="AL10" s="445"/>
      <c r="AM10" s="445"/>
      <c r="AN10" s="445"/>
      <c r="AO10" s="445"/>
      <c r="AP10" s="445"/>
      <c r="AQ10" s="445"/>
      <c r="AR10" s="445"/>
      <c r="AS10" s="445"/>
      <c r="AT10" s="445"/>
      <c r="AU10" s="445"/>
      <c r="AV10" s="445"/>
      <c r="AW10" s="445"/>
      <c r="AX10" s="445"/>
      <c r="AY10" s="445"/>
      <c r="AZ10" s="445"/>
      <c r="BA10" s="445"/>
      <c r="BB10" s="445"/>
      <c r="BC10" s="445"/>
      <c r="BD10" s="445"/>
      <c r="BE10" s="445"/>
      <c r="BF10" s="445"/>
      <c r="BG10" s="445"/>
      <c r="BH10" s="445"/>
      <c r="BI10" s="445"/>
      <c r="BJ10" s="370"/>
      <c r="BK10" s="370"/>
      <c r="BL10" s="370"/>
      <c r="BM10" s="370"/>
      <c r="BN10" s="370"/>
      <c r="BO10" s="370"/>
      <c r="BP10" s="370"/>
      <c r="BQ10" s="370"/>
      <c r="BR10" s="371"/>
      <c r="BS10" s="120"/>
      <c r="BT10" s="120"/>
      <c r="BU10" s="34">
        <f t="shared" si="0"/>
        <v>0</v>
      </c>
    </row>
    <row r="11" spans="1:73" s="296" customFormat="1">
      <c r="A11" s="540">
        <v>16</v>
      </c>
      <c r="B11" s="630" t="str">
        <f>+Summary!A60</f>
        <v>Restock CH antifreeze &amp; check water levels</v>
      </c>
      <c r="C11" s="444"/>
      <c r="D11" s="445"/>
      <c r="E11" s="445"/>
      <c r="F11" s="445"/>
      <c r="G11" s="445"/>
      <c r="H11" s="445"/>
      <c r="I11" s="445"/>
      <c r="J11" s="445"/>
      <c r="K11" s="445"/>
      <c r="L11" s="445"/>
      <c r="M11" s="445"/>
      <c r="N11" s="445"/>
      <c r="O11" s="445"/>
      <c r="P11" s="445"/>
      <c r="Q11" s="445"/>
      <c r="R11" s="445"/>
      <c r="S11" s="445"/>
      <c r="T11" s="445"/>
      <c r="U11" s="445"/>
      <c r="V11" s="445"/>
      <c r="W11" s="445"/>
      <c r="X11" s="445"/>
      <c r="Y11" s="445"/>
      <c r="Z11" s="445"/>
      <c r="AA11" s="445"/>
      <c r="AB11" s="445"/>
      <c r="AC11" s="445"/>
      <c r="AD11" s="445"/>
      <c r="AE11" s="445"/>
      <c r="AF11" s="445"/>
      <c r="AG11" s="445"/>
      <c r="AH11" s="445"/>
      <c r="AI11" s="445"/>
      <c r="AJ11" s="445"/>
      <c r="AK11" s="445"/>
      <c r="AL11" s="445"/>
      <c r="AM11" s="445"/>
      <c r="AN11" s="445"/>
      <c r="AO11" s="445"/>
      <c r="AP11" s="445"/>
      <c r="AQ11" s="445"/>
      <c r="AR11" s="445"/>
      <c r="AS11" s="445"/>
      <c r="AT11" s="445"/>
      <c r="AU11" s="445"/>
      <c r="AV11" s="445"/>
      <c r="AW11" s="445"/>
      <c r="AX11" s="445"/>
      <c r="AY11" s="445"/>
      <c r="AZ11" s="445"/>
      <c r="BA11" s="445"/>
      <c r="BB11" s="445"/>
      <c r="BC11" s="445"/>
      <c r="BD11" s="445"/>
      <c r="BE11" s="445"/>
      <c r="BF11" s="445"/>
      <c r="BG11" s="445"/>
      <c r="BH11" s="445"/>
      <c r="BI11" s="445"/>
      <c r="BJ11" s="370"/>
      <c r="BK11" s="370"/>
      <c r="BL11" s="370"/>
      <c r="BM11" s="370"/>
      <c r="BN11" s="370"/>
      <c r="BO11" s="370"/>
      <c r="BP11" s="370"/>
      <c r="BQ11" s="370"/>
      <c r="BR11" s="371"/>
      <c r="BS11" s="120"/>
      <c r="BT11" s="120"/>
      <c r="BU11" s="34">
        <f t="shared" si="0"/>
        <v>0</v>
      </c>
    </row>
    <row r="12" spans="1:73" s="296" customFormat="1">
      <c r="A12" s="540">
        <v>17</v>
      </c>
      <c r="B12" s="630" t="str">
        <f>+Summary!A61</f>
        <v>Restock water filters &amp; Freezeban</v>
      </c>
      <c r="C12" s="444"/>
      <c r="D12" s="445"/>
      <c r="E12" s="445"/>
      <c r="F12" s="445"/>
      <c r="G12" s="445"/>
      <c r="H12" s="445"/>
      <c r="I12" s="445"/>
      <c r="J12" s="445"/>
      <c r="K12" s="445"/>
      <c r="L12" s="445"/>
      <c r="M12" s="445"/>
      <c r="N12" s="445"/>
      <c r="O12" s="445"/>
      <c r="P12" s="445"/>
      <c r="Q12" s="445"/>
      <c r="R12" s="445"/>
      <c r="S12" s="445"/>
      <c r="T12" s="445"/>
      <c r="U12" s="445"/>
      <c r="V12" s="445"/>
      <c r="W12" s="445"/>
      <c r="X12" s="445"/>
      <c r="Y12" s="445"/>
      <c r="Z12" s="445"/>
      <c r="AA12" s="445"/>
      <c r="AB12" s="445"/>
      <c r="AC12" s="445"/>
      <c r="AD12" s="445"/>
      <c r="AE12" s="445"/>
      <c r="AF12" s="445"/>
      <c r="AG12" s="445"/>
      <c r="AH12" s="445"/>
      <c r="AI12" s="445"/>
      <c r="AJ12" s="445"/>
      <c r="AK12" s="445"/>
      <c r="AL12" s="445"/>
      <c r="AM12" s="445"/>
      <c r="AN12" s="445"/>
      <c r="AO12" s="445"/>
      <c r="AP12" s="445"/>
      <c r="AQ12" s="445"/>
      <c r="AR12" s="445"/>
      <c r="AS12" s="445"/>
      <c r="AT12" s="445"/>
      <c r="AU12" s="445"/>
      <c r="AV12" s="445"/>
      <c r="AW12" s="445"/>
      <c r="AX12" s="445"/>
      <c r="AY12" s="445"/>
      <c r="AZ12" s="445"/>
      <c r="BA12" s="445"/>
      <c r="BB12" s="445"/>
      <c r="BC12" s="445"/>
      <c r="BD12" s="445"/>
      <c r="BE12" s="445"/>
      <c r="BF12" s="445"/>
      <c r="BG12" s="445"/>
      <c r="BH12" s="445"/>
      <c r="BI12" s="445"/>
      <c r="BJ12" s="370"/>
      <c r="BK12" s="370"/>
      <c r="BL12" s="370"/>
      <c r="BM12" s="370"/>
      <c r="BN12" s="370"/>
      <c r="BO12" s="370"/>
      <c r="BP12" s="370"/>
      <c r="BQ12" s="370"/>
      <c r="BR12" s="371"/>
      <c r="BS12" s="120"/>
      <c r="BT12" s="120"/>
      <c r="BU12" s="34">
        <f t="shared" si="0"/>
        <v>0</v>
      </c>
    </row>
    <row r="13" spans="1:73" s="296" customFormat="1">
      <c r="A13" s="540">
        <v>18</v>
      </c>
      <c r="B13" s="630" t="str">
        <f>+Summary!A62</f>
        <v>Replace pillows  (if needed)</v>
      </c>
      <c r="C13" s="444"/>
      <c r="D13" s="445"/>
      <c r="E13" s="445"/>
      <c r="F13" s="445"/>
      <c r="G13" s="445"/>
      <c r="H13" s="445"/>
      <c r="I13" s="445"/>
      <c r="J13" s="445"/>
      <c r="K13" s="445"/>
      <c r="L13" s="445"/>
      <c r="M13" s="445"/>
      <c r="N13" s="445"/>
      <c r="O13" s="445"/>
      <c r="P13" s="445"/>
      <c r="Q13" s="445"/>
      <c r="R13" s="445"/>
      <c r="S13" s="445"/>
      <c r="T13" s="445"/>
      <c r="U13" s="445"/>
      <c r="V13" s="445"/>
      <c r="W13" s="445"/>
      <c r="X13" s="445"/>
      <c r="Y13" s="445"/>
      <c r="Z13" s="445"/>
      <c r="AA13" s="445"/>
      <c r="AB13" s="445"/>
      <c r="AC13" s="445"/>
      <c r="AD13" s="445"/>
      <c r="AE13" s="445"/>
      <c r="AF13" s="445"/>
      <c r="AG13" s="445"/>
      <c r="AH13" s="445"/>
      <c r="AI13" s="445"/>
      <c r="AJ13" s="445"/>
      <c r="AK13" s="445"/>
      <c r="AL13" s="445"/>
      <c r="AM13" s="445"/>
      <c r="AN13" s="445"/>
      <c r="AO13" s="445"/>
      <c r="AP13" s="445"/>
      <c r="AQ13" s="445"/>
      <c r="AR13" s="445"/>
      <c r="AS13" s="445"/>
      <c r="AT13" s="445"/>
      <c r="AU13" s="445"/>
      <c r="AV13" s="445"/>
      <c r="AW13" s="445"/>
      <c r="AX13" s="445"/>
      <c r="AY13" s="445"/>
      <c r="AZ13" s="445"/>
      <c r="BA13" s="445"/>
      <c r="BB13" s="445"/>
      <c r="BC13" s="445"/>
      <c r="BD13" s="445"/>
      <c r="BE13" s="445"/>
      <c r="BF13" s="445"/>
      <c r="BG13" s="445"/>
      <c r="BH13" s="445"/>
      <c r="BI13" s="445"/>
      <c r="BJ13" s="370"/>
      <c r="BK13" s="370"/>
      <c r="BL13" s="370"/>
      <c r="BM13" s="370"/>
      <c r="BN13" s="370"/>
      <c r="BO13" s="370"/>
      <c r="BP13" s="370"/>
      <c r="BQ13" s="370"/>
      <c r="BR13" s="371"/>
      <c r="BS13" s="120"/>
      <c r="BT13" s="120"/>
      <c r="BU13" s="34">
        <f t="shared" si="0"/>
        <v>0</v>
      </c>
    </row>
    <row r="14" spans="1:73" s="296" customFormat="1">
      <c r="A14" s="540">
        <v>19</v>
      </c>
      <c r="B14" s="630" t="str">
        <f>+Summary!A63</f>
        <v>Re-stock first aid kit as needed</v>
      </c>
      <c r="C14" s="444"/>
      <c r="D14" s="445"/>
      <c r="E14" s="445"/>
      <c r="F14" s="445"/>
      <c r="G14" s="445"/>
      <c r="H14" s="445"/>
      <c r="I14" s="445">
        <v>15.55</v>
      </c>
      <c r="J14" s="445"/>
      <c r="K14" s="445"/>
      <c r="L14" s="445"/>
      <c r="M14" s="445"/>
      <c r="N14" s="445"/>
      <c r="O14" s="445"/>
      <c r="P14" s="445"/>
      <c r="Q14" s="445"/>
      <c r="R14" s="445"/>
      <c r="S14" s="445"/>
      <c r="T14" s="445"/>
      <c r="U14" s="445"/>
      <c r="V14" s="445"/>
      <c r="W14" s="445"/>
      <c r="X14" s="445"/>
      <c r="Y14" s="445"/>
      <c r="Z14" s="445"/>
      <c r="AA14" s="445"/>
      <c r="AB14" s="445"/>
      <c r="AC14" s="445"/>
      <c r="AD14" s="445"/>
      <c r="AE14" s="445"/>
      <c r="AF14" s="445"/>
      <c r="AG14" s="445"/>
      <c r="AH14" s="445"/>
      <c r="AI14" s="445"/>
      <c r="AJ14" s="445"/>
      <c r="AK14" s="445"/>
      <c r="AL14" s="445"/>
      <c r="AM14" s="445"/>
      <c r="AN14" s="445"/>
      <c r="AO14" s="445"/>
      <c r="AP14" s="445"/>
      <c r="AQ14" s="445"/>
      <c r="AR14" s="445"/>
      <c r="AS14" s="445"/>
      <c r="AT14" s="445"/>
      <c r="AU14" s="445"/>
      <c r="AV14" s="445"/>
      <c r="AW14" s="445"/>
      <c r="AX14" s="445"/>
      <c r="AY14" s="445"/>
      <c r="AZ14" s="445"/>
      <c r="BA14" s="445"/>
      <c r="BB14" s="445"/>
      <c r="BC14" s="445"/>
      <c r="BD14" s="445"/>
      <c r="BE14" s="445"/>
      <c r="BF14" s="445"/>
      <c r="BG14" s="445"/>
      <c r="BH14" s="445"/>
      <c r="BI14" s="445"/>
      <c r="BJ14" s="370"/>
      <c r="BK14" s="370"/>
      <c r="BL14" s="370"/>
      <c r="BM14" s="370"/>
      <c r="BN14" s="370"/>
      <c r="BO14" s="370"/>
      <c r="BP14" s="370"/>
      <c r="BQ14" s="370"/>
      <c r="BR14" s="371"/>
      <c r="BS14" s="120"/>
      <c r="BT14" s="120"/>
      <c r="BU14" s="34">
        <f t="shared" si="0"/>
        <v>15.55</v>
      </c>
    </row>
    <row r="15" spans="1:73" s="296" customFormat="1">
      <c r="A15" s="540">
        <v>20</v>
      </c>
      <c r="B15" s="630" t="str">
        <f>+Summary!A64</f>
        <v xml:space="preserve">Clean boat after working w/e - Co-ordinate </v>
      </c>
      <c r="C15" s="444"/>
      <c r="D15" s="445"/>
      <c r="E15" s="445"/>
      <c r="F15" s="445"/>
      <c r="G15" s="445"/>
      <c r="H15" s="445"/>
      <c r="I15" s="445"/>
      <c r="J15" s="445"/>
      <c r="K15" s="445"/>
      <c r="L15" s="445"/>
      <c r="M15" s="445"/>
      <c r="N15" s="445"/>
      <c r="O15" s="445"/>
      <c r="P15" s="445"/>
      <c r="Q15" s="445"/>
      <c r="R15" s="445"/>
      <c r="S15" s="445"/>
      <c r="T15" s="445"/>
      <c r="U15" s="445"/>
      <c r="V15" s="445">
        <v>12.43</v>
      </c>
      <c r="W15" s="445"/>
      <c r="X15" s="445"/>
      <c r="Y15" s="445"/>
      <c r="Z15" s="445"/>
      <c r="AA15" s="445"/>
      <c r="AB15" s="445"/>
      <c r="AC15" s="445"/>
      <c r="AD15" s="445"/>
      <c r="AE15" s="445"/>
      <c r="AF15" s="445"/>
      <c r="AG15" s="445"/>
      <c r="AH15" s="445"/>
      <c r="AI15" s="445"/>
      <c r="AJ15" s="445"/>
      <c r="AK15" s="445"/>
      <c r="AL15" s="445"/>
      <c r="AM15" s="445"/>
      <c r="AN15" s="445"/>
      <c r="AO15" s="445"/>
      <c r="AP15" s="445"/>
      <c r="AQ15" s="445"/>
      <c r="AR15" s="445"/>
      <c r="AS15" s="445"/>
      <c r="AT15" s="445"/>
      <c r="AU15" s="445"/>
      <c r="AV15" s="445"/>
      <c r="AW15" s="445"/>
      <c r="AX15" s="445"/>
      <c r="AY15" s="445"/>
      <c r="AZ15" s="445"/>
      <c r="BA15" s="445"/>
      <c r="BB15" s="445"/>
      <c r="BC15" s="445"/>
      <c r="BD15" s="445"/>
      <c r="BE15" s="445"/>
      <c r="BF15" s="445"/>
      <c r="BG15" s="445"/>
      <c r="BH15" s="445"/>
      <c r="BI15" s="445"/>
      <c r="BJ15" s="370"/>
      <c r="BK15" s="370"/>
      <c r="BL15" s="370"/>
      <c r="BM15" s="370"/>
      <c r="BN15" s="370"/>
      <c r="BO15" s="370"/>
      <c r="BP15" s="370"/>
      <c r="BQ15" s="370"/>
      <c r="BR15" s="371"/>
      <c r="BS15" s="120"/>
      <c r="BT15" s="120"/>
      <c r="BU15" s="34">
        <f t="shared" si="0"/>
        <v>12.43</v>
      </c>
    </row>
    <row r="16" spans="1:73" s="296" customFormat="1">
      <c r="A16" s="540">
        <v>22</v>
      </c>
      <c r="B16" s="631" t="str">
        <f>+Summary!A65</f>
        <v>Remove all surplus materials and food etc</v>
      </c>
      <c r="C16" s="444"/>
      <c r="D16" s="445"/>
      <c r="E16" s="445"/>
      <c r="F16" s="445"/>
      <c r="G16" s="445"/>
      <c r="H16" s="445"/>
      <c r="I16" s="445"/>
      <c r="J16" s="445"/>
      <c r="K16" s="445"/>
      <c r="L16" s="445"/>
      <c r="M16" s="445"/>
      <c r="N16" s="445"/>
      <c r="O16" s="445"/>
      <c r="P16" s="445"/>
      <c r="Q16" s="445"/>
      <c r="R16" s="445"/>
      <c r="S16" s="445"/>
      <c r="T16" s="445"/>
      <c r="U16" s="445"/>
      <c r="V16" s="445"/>
      <c r="W16" s="445"/>
      <c r="X16" s="445"/>
      <c r="Y16" s="445"/>
      <c r="Z16" s="445"/>
      <c r="AA16" s="445"/>
      <c r="AB16" s="445"/>
      <c r="AC16" s="445"/>
      <c r="AD16" s="445"/>
      <c r="AE16" s="445"/>
      <c r="AF16" s="445"/>
      <c r="AG16" s="445"/>
      <c r="AH16" s="445"/>
      <c r="AI16" s="445"/>
      <c r="AJ16" s="445"/>
      <c r="AK16" s="445"/>
      <c r="AL16" s="445"/>
      <c r="AM16" s="445"/>
      <c r="AN16" s="445"/>
      <c r="AO16" s="445"/>
      <c r="AP16" s="445"/>
      <c r="AQ16" s="445"/>
      <c r="AR16" s="445"/>
      <c r="AS16" s="445"/>
      <c r="AT16" s="445"/>
      <c r="AU16" s="445"/>
      <c r="AV16" s="445"/>
      <c r="AW16" s="445"/>
      <c r="AX16" s="445"/>
      <c r="AY16" s="445"/>
      <c r="AZ16" s="445"/>
      <c r="BA16" s="445"/>
      <c r="BB16" s="445"/>
      <c r="BC16" s="445"/>
      <c r="BD16" s="445"/>
      <c r="BE16" s="445"/>
      <c r="BF16" s="445"/>
      <c r="BG16" s="445"/>
      <c r="BH16" s="445"/>
      <c r="BI16" s="445"/>
      <c r="BJ16" s="370"/>
      <c r="BK16" s="370"/>
      <c r="BL16" s="370"/>
      <c r="BM16" s="370"/>
      <c r="BN16" s="370"/>
      <c r="BO16" s="370"/>
      <c r="BP16" s="370"/>
      <c r="BQ16" s="370"/>
      <c r="BR16" s="371"/>
      <c r="BS16" s="120"/>
      <c r="BT16" s="120"/>
      <c r="BU16" s="34">
        <f t="shared" si="0"/>
        <v>0</v>
      </c>
    </row>
    <row r="17" spans="1:73" s="296" customFormat="1">
      <c r="A17" s="540">
        <v>24</v>
      </c>
      <c r="B17" s="833" t="str">
        <f>+Summary!A66</f>
        <v xml:space="preserve">Check mounts,  transmission and alternator belt </v>
      </c>
      <c r="C17" s="444"/>
      <c r="D17" s="445"/>
      <c r="E17" s="445"/>
      <c r="F17" s="445"/>
      <c r="G17" s="445"/>
      <c r="H17" s="445"/>
      <c r="I17" s="445"/>
      <c r="J17" s="445"/>
      <c r="K17" s="445"/>
      <c r="L17" s="445"/>
      <c r="M17" s="445"/>
      <c r="N17" s="445"/>
      <c r="O17" s="445"/>
      <c r="P17" s="445"/>
      <c r="Q17" s="445"/>
      <c r="R17" s="445"/>
      <c r="S17" s="445"/>
      <c r="T17" s="445"/>
      <c r="U17" s="445"/>
      <c r="V17" s="445"/>
      <c r="W17" s="445"/>
      <c r="X17" s="445"/>
      <c r="Y17" s="445"/>
      <c r="Z17" s="445"/>
      <c r="AA17" s="445"/>
      <c r="AB17" s="445"/>
      <c r="AC17" s="445"/>
      <c r="AD17" s="445"/>
      <c r="AE17" s="445"/>
      <c r="AF17" s="445"/>
      <c r="AG17" s="445"/>
      <c r="AH17" s="445"/>
      <c r="AI17" s="445"/>
      <c r="AJ17" s="445"/>
      <c r="AK17" s="445"/>
      <c r="AL17" s="445"/>
      <c r="AM17" s="445"/>
      <c r="AN17" s="445"/>
      <c r="AO17" s="445"/>
      <c r="AP17" s="445"/>
      <c r="AQ17" s="445"/>
      <c r="AR17" s="445"/>
      <c r="AS17" s="445"/>
      <c r="AT17" s="445"/>
      <c r="AU17" s="445"/>
      <c r="AV17" s="445"/>
      <c r="AW17" s="445"/>
      <c r="AX17" s="445"/>
      <c r="AY17" s="445"/>
      <c r="AZ17" s="445"/>
      <c r="BA17" s="445"/>
      <c r="BB17" s="445"/>
      <c r="BC17" s="445"/>
      <c r="BD17" s="445"/>
      <c r="BE17" s="445"/>
      <c r="BF17" s="445"/>
      <c r="BG17" s="445"/>
      <c r="BH17" s="445"/>
      <c r="BI17" s="445"/>
      <c r="BJ17" s="370"/>
      <c r="BK17" s="370"/>
      <c r="BL17" s="370"/>
      <c r="BM17" s="370"/>
      <c r="BN17" s="370"/>
      <c r="BO17" s="370"/>
      <c r="BP17" s="370"/>
      <c r="BQ17" s="370"/>
      <c r="BR17" s="371"/>
      <c r="BS17" s="120"/>
      <c r="BT17" s="120"/>
      <c r="BU17" s="34">
        <f t="shared" si="0"/>
        <v>0</v>
      </c>
    </row>
    <row r="18" spans="1:73" s="296" customFormat="1">
      <c r="A18" s="539">
        <v>25</v>
      </c>
      <c r="B18" s="555" t="str">
        <f>+Summary!A67</f>
        <v xml:space="preserve">Check/fix bilge pumps and auto switches operational </v>
      </c>
      <c r="C18" s="444"/>
      <c r="D18" s="445"/>
      <c r="E18" s="445"/>
      <c r="F18" s="445"/>
      <c r="G18" s="445"/>
      <c r="H18" s="445"/>
      <c r="I18" s="445"/>
      <c r="J18" s="445"/>
      <c r="K18" s="445"/>
      <c r="L18" s="445"/>
      <c r="M18" s="445"/>
      <c r="N18" s="445"/>
      <c r="O18" s="445"/>
      <c r="P18" s="445"/>
      <c r="Q18" s="445"/>
      <c r="R18" s="445"/>
      <c r="S18" s="445"/>
      <c r="T18" s="445"/>
      <c r="U18" s="445"/>
      <c r="V18" s="445"/>
      <c r="W18" s="445"/>
      <c r="X18" s="445"/>
      <c r="Y18" s="445"/>
      <c r="Z18" s="445"/>
      <c r="AA18" s="445"/>
      <c r="AB18" s="445"/>
      <c r="AC18" s="445"/>
      <c r="AD18" s="445"/>
      <c r="AE18" s="445"/>
      <c r="AF18" s="445"/>
      <c r="AG18" s="445"/>
      <c r="AH18" s="445"/>
      <c r="AI18" s="445"/>
      <c r="AJ18" s="445"/>
      <c r="AK18" s="445"/>
      <c r="AL18" s="445"/>
      <c r="AM18" s="445"/>
      <c r="AN18" s="445"/>
      <c r="AO18" s="445"/>
      <c r="AP18" s="445"/>
      <c r="AQ18" s="445"/>
      <c r="AR18" s="445"/>
      <c r="AS18" s="445"/>
      <c r="AT18" s="445"/>
      <c r="AU18" s="445"/>
      <c r="AV18" s="445"/>
      <c r="AW18" s="445"/>
      <c r="AX18" s="445"/>
      <c r="AY18" s="445"/>
      <c r="AZ18" s="445"/>
      <c r="BA18" s="445"/>
      <c r="BB18" s="445"/>
      <c r="BC18" s="445"/>
      <c r="BD18" s="445"/>
      <c r="BE18" s="445"/>
      <c r="BF18" s="445"/>
      <c r="BG18" s="445"/>
      <c r="BH18" s="445"/>
      <c r="BI18" s="445"/>
      <c r="BJ18" s="370"/>
      <c r="BK18" s="370"/>
      <c r="BL18" s="370"/>
      <c r="BM18" s="370"/>
      <c r="BN18" s="370"/>
      <c r="BO18" s="370"/>
      <c r="BP18" s="370"/>
      <c r="BQ18" s="370"/>
      <c r="BR18" s="371"/>
      <c r="BS18" s="120"/>
      <c r="BT18" s="120"/>
      <c r="BU18" s="34">
        <f t="shared" si="0"/>
        <v>0</v>
      </c>
    </row>
    <row r="19" spans="1:73" s="296" customFormat="1">
      <c r="A19" s="539">
        <v>26</v>
      </c>
      <c r="B19" s="555" t="str">
        <f>+Summary!A68</f>
        <v>Restock diesel tonic and oil + fuel+ air filters</v>
      </c>
      <c r="C19" s="444"/>
      <c r="D19" s="445"/>
      <c r="E19" s="445"/>
      <c r="F19" s="445"/>
      <c r="G19" s="445">
        <v>27.74</v>
      </c>
      <c r="H19" s="445"/>
      <c r="I19" s="445"/>
      <c r="J19" s="445"/>
      <c r="K19" s="445"/>
      <c r="L19" s="445"/>
      <c r="M19" s="445"/>
      <c r="N19" s="445"/>
      <c r="O19" s="445"/>
      <c r="P19" s="445"/>
      <c r="Q19" s="445"/>
      <c r="R19" s="445"/>
      <c r="S19" s="445"/>
      <c r="T19" s="445"/>
      <c r="U19" s="445"/>
      <c r="V19" s="445">
        <v>19.75</v>
      </c>
      <c r="W19" s="445"/>
      <c r="X19" s="445"/>
      <c r="Y19" s="445"/>
      <c r="Z19" s="445"/>
      <c r="AA19" s="445"/>
      <c r="AB19" s="445"/>
      <c r="AC19" s="445"/>
      <c r="AD19" s="445"/>
      <c r="AE19" s="445"/>
      <c r="AF19" s="445"/>
      <c r="AG19" s="445"/>
      <c r="AH19" s="445"/>
      <c r="AI19" s="445"/>
      <c r="AJ19" s="445"/>
      <c r="AK19" s="445"/>
      <c r="AL19" s="445"/>
      <c r="AM19" s="445"/>
      <c r="AN19" s="445"/>
      <c r="AO19" s="445"/>
      <c r="AP19" s="445"/>
      <c r="AQ19" s="445"/>
      <c r="AR19" s="445"/>
      <c r="AS19" s="445"/>
      <c r="AT19" s="445"/>
      <c r="AU19" s="445"/>
      <c r="AV19" s="445"/>
      <c r="AW19" s="445"/>
      <c r="AX19" s="445"/>
      <c r="AY19" s="445"/>
      <c r="AZ19" s="445"/>
      <c r="BA19" s="445"/>
      <c r="BB19" s="445"/>
      <c r="BC19" s="445"/>
      <c r="BD19" s="445"/>
      <c r="BE19" s="445"/>
      <c r="BF19" s="445"/>
      <c r="BG19" s="445"/>
      <c r="BH19" s="445"/>
      <c r="BI19" s="445"/>
      <c r="BJ19" s="370"/>
      <c r="BK19" s="370"/>
      <c r="BL19" s="370"/>
      <c r="BM19" s="370"/>
      <c r="BN19" s="370"/>
      <c r="BO19" s="370"/>
      <c r="BP19" s="370"/>
      <c r="BQ19" s="370"/>
      <c r="BR19" s="371"/>
      <c r="BS19" s="120"/>
      <c r="BT19" s="120"/>
      <c r="BU19" s="34">
        <f t="shared" si="0"/>
        <v>47.489999999999995</v>
      </c>
    </row>
    <row r="20" spans="1:73" s="296" customFormat="1">
      <c r="A20" s="539">
        <v>27</v>
      </c>
      <c r="B20" s="630" t="str">
        <f>+Summary!A69</f>
        <v>Service engine</v>
      </c>
      <c r="C20" s="444"/>
      <c r="D20" s="445"/>
      <c r="E20" s="445"/>
      <c r="F20" s="445"/>
      <c r="G20" s="445"/>
      <c r="H20" s="445"/>
      <c r="I20" s="445"/>
      <c r="J20" s="445"/>
      <c r="K20" s="445"/>
      <c r="L20" s="445"/>
      <c r="M20" s="445"/>
      <c r="N20" s="445"/>
      <c r="O20" s="445"/>
      <c r="P20" s="445"/>
      <c r="Q20" s="445"/>
      <c r="R20" s="445"/>
      <c r="S20" s="445"/>
      <c r="T20" s="445"/>
      <c r="U20" s="445"/>
      <c r="V20" s="445">
        <v>35.5</v>
      </c>
      <c r="W20" s="445"/>
      <c r="X20" s="445"/>
      <c r="Y20" s="445"/>
      <c r="Z20" s="445"/>
      <c r="AA20" s="445"/>
      <c r="AB20" s="445"/>
      <c r="AC20" s="445"/>
      <c r="AD20" s="445"/>
      <c r="AE20" s="445"/>
      <c r="AF20" s="445"/>
      <c r="AG20" s="445"/>
      <c r="AH20" s="445"/>
      <c r="AI20" s="445"/>
      <c r="AJ20" s="445"/>
      <c r="AK20" s="445"/>
      <c r="AL20" s="445"/>
      <c r="AM20" s="445"/>
      <c r="AN20" s="445"/>
      <c r="AO20" s="445"/>
      <c r="AP20" s="445"/>
      <c r="AQ20" s="445"/>
      <c r="AR20" s="445"/>
      <c r="AS20" s="445"/>
      <c r="AT20" s="445"/>
      <c r="AU20" s="445"/>
      <c r="AV20" s="445"/>
      <c r="AW20" s="445"/>
      <c r="AX20" s="445"/>
      <c r="AY20" s="445"/>
      <c r="AZ20" s="445"/>
      <c r="BA20" s="445"/>
      <c r="BB20" s="445"/>
      <c r="BC20" s="445"/>
      <c r="BD20" s="445"/>
      <c r="BE20" s="445"/>
      <c r="BF20" s="445"/>
      <c r="BG20" s="445"/>
      <c r="BH20" s="445"/>
      <c r="BI20" s="445"/>
      <c r="BJ20" s="370"/>
      <c r="BK20" s="370"/>
      <c r="BL20" s="370"/>
      <c r="BM20" s="370"/>
      <c r="BN20" s="370"/>
      <c r="BO20" s="370"/>
      <c r="BP20" s="370"/>
      <c r="BQ20" s="370"/>
      <c r="BR20" s="371"/>
      <c r="BS20" s="120"/>
      <c r="BT20" s="120"/>
      <c r="BU20" s="34">
        <f t="shared" si="0"/>
        <v>35.5</v>
      </c>
    </row>
    <row r="21" spans="1:73" s="296" customFormat="1">
      <c r="A21" s="539" t="s">
        <v>117</v>
      </c>
      <c r="B21" s="630" t="str">
        <f>+Summary!A70</f>
        <v>Laundry: clean blankets &amp; curtains  (2019 repair)</v>
      </c>
      <c r="C21" s="444"/>
      <c r="D21" s="445"/>
      <c r="E21" s="445"/>
      <c r="F21" s="445"/>
      <c r="G21" s="445"/>
      <c r="H21" s="445"/>
      <c r="I21" s="445"/>
      <c r="J21" s="445"/>
      <c r="K21" s="445"/>
      <c r="L21" s="445"/>
      <c r="M21" s="445"/>
      <c r="N21" s="445"/>
      <c r="O21" s="445"/>
      <c r="P21" s="445"/>
      <c r="Q21" s="445"/>
      <c r="R21" s="445"/>
      <c r="S21" s="445"/>
      <c r="T21" s="445"/>
      <c r="U21" s="445"/>
      <c r="V21" s="445"/>
      <c r="W21" s="445"/>
      <c r="X21" s="445"/>
      <c r="Y21" s="445"/>
      <c r="Z21" s="445"/>
      <c r="AA21" s="445"/>
      <c r="AB21" s="445"/>
      <c r="AC21" s="445"/>
      <c r="AD21" s="445"/>
      <c r="AE21" s="445"/>
      <c r="AF21" s="445"/>
      <c r="AG21" s="445"/>
      <c r="AH21" s="445"/>
      <c r="AI21" s="445"/>
      <c r="AJ21" s="445"/>
      <c r="AK21" s="445"/>
      <c r="AL21" s="445"/>
      <c r="AM21" s="445"/>
      <c r="AN21" s="445"/>
      <c r="AO21" s="445"/>
      <c r="AP21" s="445"/>
      <c r="AQ21" s="445"/>
      <c r="AR21" s="445"/>
      <c r="AS21" s="445"/>
      <c r="AT21" s="445"/>
      <c r="AU21" s="445"/>
      <c r="AV21" s="445"/>
      <c r="AW21" s="445"/>
      <c r="AX21" s="445"/>
      <c r="AY21" s="445"/>
      <c r="AZ21" s="445"/>
      <c r="BA21" s="445"/>
      <c r="BB21" s="445"/>
      <c r="BC21" s="445"/>
      <c r="BD21" s="445"/>
      <c r="BE21" s="445"/>
      <c r="BF21" s="445"/>
      <c r="BG21" s="445"/>
      <c r="BH21" s="445"/>
      <c r="BI21" s="445"/>
      <c r="BJ21" s="370"/>
      <c r="BK21" s="370"/>
      <c r="BL21" s="370"/>
      <c r="BM21" s="370"/>
      <c r="BN21" s="370"/>
      <c r="BO21" s="370"/>
      <c r="BP21" s="370"/>
      <c r="BQ21" s="370"/>
      <c r="BR21" s="371"/>
      <c r="BS21" s="120"/>
      <c r="BT21" s="120"/>
      <c r="BU21" s="34">
        <f t="shared" si="0"/>
        <v>0</v>
      </c>
    </row>
    <row r="22" spans="1:73" s="296" customFormat="1">
      <c r="A22" s="539">
        <v>40</v>
      </c>
      <c r="B22" s="630" t="str">
        <f>+Summary!A71</f>
        <v xml:space="preserve">  JOBS FOR THIS YEAR</v>
      </c>
      <c r="C22" s="444"/>
      <c r="D22" s="445"/>
      <c r="E22" s="445"/>
      <c r="F22" s="445"/>
      <c r="G22" s="445"/>
      <c r="H22" s="445"/>
      <c r="I22" s="445"/>
      <c r="J22" s="445"/>
      <c r="K22" s="445"/>
      <c r="L22" s="445"/>
      <c r="M22" s="445"/>
      <c r="N22" s="445"/>
      <c r="O22" s="445"/>
      <c r="P22" s="445"/>
      <c r="Q22" s="445"/>
      <c r="R22" s="445"/>
      <c r="S22" s="445"/>
      <c r="T22" s="445"/>
      <c r="U22" s="445"/>
      <c r="V22" s="445"/>
      <c r="W22" s="445"/>
      <c r="X22" s="445"/>
      <c r="Y22" s="445"/>
      <c r="Z22" s="445"/>
      <c r="AA22" s="445"/>
      <c r="AB22" s="445"/>
      <c r="AC22" s="445"/>
      <c r="AD22" s="445"/>
      <c r="AE22" s="445"/>
      <c r="AF22" s="445"/>
      <c r="AG22" s="445"/>
      <c r="AH22" s="445"/>
      <c r="AI22" s="445"/>
      <c r="AJ22" s="445"/>
      <c r="AK22" s="445"/>
      <c r="AL22" s="445"/>
      <c r="AM22" s="445"/>
      <c r="AN22" s="445"/>
      <c r="AO22" s="445"/>
      <c r="AP22" s="445"/>
      <c r="AQ22" s="445"/>
      <c r="AR22" s="445"/>
      <c r="AS22" s="445"/>
      <c r="AT22" s="445"/>
      <c r="AU22" s="445"/>
      <c r="AV22" s="445"/>
      <c r="AW22" s="445"/>
      <c r="AX22" s="445"/>
      <c r="AY22" s="445"/>
      <c r="AZ22" s="445"/>
      <c r="BA22" s="445"/>
      <c r="BB22" s="445"/>
      <c r="BC22" s="445"/>
      <c r="BD22" s="445"/>
      <c r="BE22" s="445"/>
      <c r="BF22" s="445"/>
      <c r="BG22" s="445"/>
      <c r="BH22" s="445"/>
      <c r="BI22" s="445"/>
      <c r="BJ22" s="370"/>
      <c r="BK22" s="370"/>
      <c r="BL22" s="370"/>
      <c r="BM22" s="370"/>
      <c r="BN22" s="370"/>
      <c r="BO22" s="370"/>
      <c r="BP22" s="370"/>
      <c r="BQ22" s="370"/>
      <c r="BR22" s="371"/>
      <c r="BS22" s="120"/>
      <c r="BT22" s="120"/>
      <c r="BU22" s="34">
        <f t="shared" si="0"/>
        <v>0</v>
      </c>
    </row>
    <row r="23" spans="1:73" s="296" customFormat="1">
      <c r="A23" s="539">
        <v>49</v>
      </c>
      <c r="B23" s="630" t="str">
        <f>+Summary!A72</f>
        <v>Fix front door (lower hinge failed, draughty, Replave lock - no double locking)</v>
      </c>
      <c r="C23" s="444"/>
      <c r="D23" s="445"/>
      <c r="E23" s="445"/>
      <c r="F23" s="445"/>
      <c r="G23" s="445"/>
      <c r="H23" s="445">
        <v>62.99</v>
      </c>
      <c r="I23" s="445">
        <v>8.6</v>
      </c>
      <c r="J23" s="445"/>
      <c r="K23" s="445"/>
      <c r="L23" s="445"/>
      <c r="M23" s="445"/>
      <c r="N23" s="445"/>
      <c r="O23" s="445"/>
      <c r="P23" s="445"/>
      <c r="Q23" s="445"/>
      <c r="R23" s="445"/>
      <c r="S23" s="445"/>
      <c r="T23" s="445"/>
      <c r="U23" s="445"/>
      <c r="V23" s="445"/>
      <c r="W23" s="445"/>
      <c r="X23" s="445"/>
      <c r="Y23" s="445"/>
      <c r="Z23" s="445"/>
      <c r="AA23" s="445"/>
      <c r="AB23" s="445"/>
      <c r="AC23" s="445"/>
      <c r="AD23" s="445"/>
      <c r="AE23" s="445"/>
      <c r="AF23" s="445"/>
      <c r="AG23" s="445"/>
      <c r="AH23" s="445"/>
      <c r="AI23" s="445"/>
      <c r="AJ23" s="445"/>
      <c r="AK23" s="445"/>
      <c r="AL23" s="445"/>
      <c r="AM23" s="445"/>
      <c r="AN23" s="445"/>
      <c r="AO23" s="445"/>
      <c r="AP23" s="445"/>
      <c r="AQ23" s="445"/>
      <c r="AR23" s="445"/>
      <c r="AS23" s="445"/>
      <c r="AT23" s="445"/>
      <c r="AU23" s="445"/>
      <c r="AV23" s="445"/>
      <c r="AW23" s="445"/>
      <c r="AX23" s="445"/>
      <c r="AY23" s="445"/>
      <c r="AZ23" s="445"/>
      <c r="BA23" s="445"/>
      <c r="BB23" s="445"/>
      <c r="BC23" s="445"/>
      <c r="BD23" s="445"/>
      <c r="BE23" s="445"/>
      <c r="BF23" s="445"/>
      <c r="BG23" s="445"/>
      <c r="BH23" s="445"/>
      <c r="BI23" s="445"/>
      <c r="BJ23" s="370"/>
      <c r="BK23" s="370"/>
      <c r="BL23" s="370"/>
      <c r="BM23" s="370"/>
      <c r="BN23" s="370"/>
      <c r="BO23" s="370"/>
      <c r="BP23" s="370"/>
      <c r="BQ23" s="370"/>
      <c r="BR23" s="371"/>
      <c r="BS23" s="120"/>
      <c r="BT23" s="120"/>
      <c r="BU23" s="34">
        <f t="shared" si="0"/>
        <v>71.59</v>
      </c>
    </row>
    <row r="24" spans="1:73" s="296" customFormat="1">
      <c r="A24" s="539">
        <v>42</v>
      </c>
      <c r="B24" s="630" t="str">
        <f>+Summary!A73</f>
        <v>Secure steps from side hatch and the front step</v>
      </c>
      <c r="C24" s="444"/>
      <c r="D24" s="445"/>
      <c r="E24" s="445"/>
      <c r="F24" s="445"/>
      <c r="G24" s="445"/>
      <c r="H24" s="445"/>
      <c r="I24" s="445"/>
      <c r="J24" s="445"/>
      <c r="K24" s="445"/>
      <c r="L24" s="445"/>
      <c r="M24" s="445"/>
      <c r="N24" s="445"/>
      <c r="O24" s="445"/>
      <c r="P24" s="445"/>
      <c r="Q24" s="445"/>
      <c r="R24" s="445"/>
      <c r="S24" s="445"/>
      <c r="T24" s="445"/>
      <c r="U24" s="445"/>
      <c r="V24" s="445"/>
      <c r="W24" s="445"/>
      <c r="X24" s="445"/>
      <c r="Y24" s="445"/>
      <c r="Z24" s="445"/>
      <c r="AA24" s="445"/>
      <c r="AB24" s="445"/>
      <c r="AC24" s="445"/>
      <c r="AD24" s="445"/>
      <c r="AE24" s="445"/>
      <c r="AF24" s="445"/>
      <c r="AG24" s="445"/>
      <c r="AH24" s="445"/>
      <c r="AI24" s="445"/>
      <c r="AJ24" s="445"/>
      <c r="AK24" s="445"/>
      <c r="AL24" s="445"/>
      <c r="AM24" s="445"/>
      <c r="AN24" s="445"/>
      <c r="AO24" s="445"/>
      <c r="AP24" s="445"/>
      <c r="AQ24" s="445"/>
      <c r="AR24" s="445"/>
      <c r="AS24" s="445"/>
      <c r="AT24" s="445"/>
      <c r="AU24" s="445"/>
      <c r="AV24" s="445"/>
      <c r="AW24" s="445"/>
      <c r="AX24" s="445"/>
      <c r="AY24" s="445"/>
      <c r="AZ24" s="445"/>
      <c r="BA24" s="445"/>
      <c r="BB24" s="445"/>
      <c r="BC24" s="445"/>
      <c r="BD24" s="445"/>
      <c r="BE24" s="445"/>
      <c r="BF24" s="445"/>
      <c r="BG24" s="445"/>
      <c r="BH24" s="445"/>
      <c r="BI24" s="445"/>
      <c r="BJ24" s="370"/>
      <c r="BK24" s="370"/>
      <c r="BL24" s="370"/>
      <c r="BM24" s="370"/>
      <c r="BN24" s="370"/>
      <c r="BO24" s="370"/>
      <c r="BP24" s="370"/>
      <c r="BQ24" s="370"/>
      <c r="BR24" s="371"/>
      <c r="BS24" s="120"/>
      <c r="BT24" s="120"/>
      <c r="BU24" s="34">
        <f t="shared" si="0"/>
        <v>0</v>
      </c>
    </row>
    <row r="25" spans="1:73" s="296" customFormat="1" ht="14">
      <c r="A25" s="539">
        <v>48</v>
      </c>
      <c r="B25" s="630" t="str">
        <f>+Summary!A74</f>
        <v>Shelving in dining area - lip to top shelf, wire stops, extra shelf above pipe, and varnish</v>
      </c>
      <c r="C25" s="444"/>
      <c r="D25" s="445"/>
      <c r="E25" s="445"/>
      <c r="F25" s="445"/>
      <c r="G25" s="445"/>
      <c r="H25" s="445"/>
      <c r="I25" s="445"/>
      <c r="J25" s="445"/>
      <c r="K25" s="445"/>
      <c r="L25" s="445">
        <v>12.61</v>
      </c>
      <c r="M25" s="445"/>
      <c r="N25" s="445"/>
      <c r="O25" s="445"/>
      <c r="P25" s="445"/>
      <c r="Q25" s="445"/>
      <c r="R25" s="445"/>
      <c r="S25" s="445"/>
      <c r="T25" s="445"/>
      <c r="U25" s="445"/>
      <c r="V25" s="445"/>
      <c r="W25" s="445"/>
      <c r="X25" s="445"/>
      <c r="Y25" s="445"/>
      <c r="Z25" s="445"/>
      <c r="AA25" s="445"/>
      <c r="AB25" s="445"/>
      <c r="AC25" s="445"/>
      <c r="AD25" s="445"/>
      <c r="AE25" s="445"/>
      <c r="AF25" s="445"/>
      <c r="AG25" s="445"/>
      <c r="AH25" s="445"/>
      <c r="AI25" s="445"/>
      <c r="AJ25" s="445"/>
      <c r="AK25" s="445"/>
      <c r="AL25" s="445"/>
      <c r="AM25" s="445"/>
      <c r="AN25" s="445"/>
      <c r="AO25" s="445"/>
      <c r="AP25" s="445"/>
      <c r="AQ25" s="445"/>
      <c r="AR25" s="445"/>
      <c r="AS25" s="445"/>
      <c r="AT25" s="445"/>
      <c r="AU25" s="445"/>
      <c r="AV25" s="445"/>
      <c r="AW25" s="445"/>
      <c r="AX25" s="445"/>
      <c r="AY25" s="445"/>
      <c r="AZ25" s="445"/>
      <c r="BA25" s="445"/>
      <c r="BB25" s="445"/>
      <c r="BC25" s="445"/>
      <c r="BD25" s="445"/>
      <c r="BE25" s="445"/>
      <c r="BF25" s="445"/>
      <c r="BG25" s="445"/>
      <c r="BH25" s="445"/>
      <c r="BI25" s="445"/>
      <c r="BJ25" s="370"/>
      <c r="BK25" s="370"/>
      <c r="BL25" s="370"/>
      <c r="BM25" s="370"/>
      <c r="BN25" s="370"/>
      <c r="BO25" s="370"/>
      <c r="BP25" s="370"/>
      <c r="BQ25" s="370"/>
      <c r="BR25" s="371"/>
      <c r="BS25" s="120"/>
      <c r="BT25" s="120"/>
      <c r="BU25" s="34">
        <f t="shared" si="0"/>
        <v>12.61</v>
      </c>
    </row>
    <row r="26" spans="1:73" s="296" customFormat="1">
      <c r="A26" s="539">
        <v>56</v>
      </c>
      <c r="B26" s="630" t="str">
        <f>+Summary!A75</f>
        <v>Replace anchor rope</v>
      </c>
      <c r="C26" s="444"/>
      <c r="D26" s="445"/>
      <c r="E26" s="445"/>
      <c r="F26" s="445"/>
      <c r="G26" s="445"/>
      <c r="H26" s="445"/>
      <c r="I26" s="445"/>
      <c r="J26" s="445">
        <v>100.75</v>
      </c>
      <c r="K26" s="445"/>
      <c r="L26" s="445"/>
      <c r="M26" s="445"/>
      <c r="N26" s="445"/>
      <c r="O26" s="445"/>
      <c r="P26" s="445"/>
      <c r="Q26" s="445"/>
      <c r="R26" s="445"/>
      <c r="S26" s="445"/>
      <c r="T26" s="445"/>
      <c r="U26" s="445"/>
      <c r="V26" s="445"/>
      <c r="W26" s="445"/>
      <c r="X26" s="445"/>
      <c r="Y26" s="445"/>
      <c r="Z26" s="445"/>
      <c r="AA26" s="445"/>
      <c r="AB26" s="445"/>
      <c r="AC26" s="445"/>
      <c r="AD26" s="445"/>
      <c r="AE26" s="445"/>
      <c r="AF26" s="445"/>
      <c r="AG26" s="445"/>
      <c r="AH26" s="445"/>
      <c r="AI26" s="445"/>
      <c r="AJ26" s="445"/>
      <c r="AK26" s="445"/>
      <c r="AL26" s="445"/>
      <c r="AM26" s="445"/>
      <c r="AN26" s="445"/>
      <c r="AO26" s="445"/>
      <c r="AP26" s="445"/>
      <c r="AQ26" s="445"/>
      <c r="AR26" s="445"/>
      <c r="AS26" s="445"/>
      <c r="AT26" s="445"/>
      <c r="AU26" s="445"/>
      <c r="AV26" s="445"/>
      <c r="AW26" s="445"/>
      <c r="AX26" s="445"/>
      <c r="AY26" s="445"/>
      <c r="AZ26" s="445"/>
      <c r="BA26" s="445"/>
      <c r="BB26" s="445"/>
      <c r="BC26" s="445"/>
      <c r="BD26" s="445"/>
      <c r="BE26" s="445"/>
      <c r="BF26" s="445"/>
      <c r="BG26" s="445"/>
      <c r="BH26" s="445"/>
      <c r="BI26" s="445"/>
      <c r="BJ26" s="370"/>
      <c r="BK26" s="370"/>
      <c r="BL26" s="370"/>
      <c r="BM26" s="370"/>
      <c r="BN26" s="370"/>
      <c r="BO26" s="370"/>
      <c r="BP26" s="370"/>
      <c r="BQ26" s="370"/>
      <c r="BR26" s="371"/>
      <c r="BS26" s="120"/>
      <c r="BT26" s="120"/>
      <c r="BU26" s="34">
        <f t="shared" si="0"/>
        <v>100.75</v>
      </c>
    </row>
    <row r="27" spans="1:73" s="296" customFormat="1">
      <c r="A27" s="539">
        <v>50</v>
      </c>
      <c r="B27" s="630" t="str">
        <f>+Summary!A76</f>
        <v>New curtain wires and fixing eyes</v>
      </c>
      <c r="C27" s="444"/>
      <c r="D27" s="445"/>
      <c r="E27" s="445"/>
      <c r="F27" s="445"/>
      <c r="G27" s="445"/>
      <c r="H27" s="445"/>
      <c r="I27" s="445">
        <v>15.97</v>
      </c>
      <c r="J27" s="445"/>
      <c r="K27" s="445"/>
      <c r="L27" s="445"/>
      <c r="M27" s="445"/>
      <c r="N27" s="445"/>
      <c r="O27" s="445"/>
      <c r="P27" s="445"/>
      <c r="Q27" s="445"/>
      <c r="R27" s="445"/>
      <c r="S27" s="445"/>
      <c r="T27" s="445"/>
      <c r="U27" s="445"/>
      <c r="V27" s="445"/>
      <c r="W27" s="445"/>
      <c r="X27" s="445"/>
      <c r="Y27" s="445"/>
      <c r="Z27" s="445"/>
      <c r="AA27" s="445"/>
      <c r="AB27" s="445"/>
      <c r="AC27" s="445"/>
      <c r="AD27" s="445"/>
      <c r="AE27" s="445"/>
      <c r="AF27" s="445"/>
      <c r="AG27" s="445"/>
      <c r="AH27" s="445"/>
      <c r="AI27" s="445"/>
      <c r="AJ27" s="445"/>
      <c r="AK27" s="445"/>
      <c r="AL27" s="445"/>
      <c r="AM27" s="445"/>
      <c r="AN27" s="445"/>
      <c r="AO27" s="445"/>
      <c r="AP27" s="445"/>
      <c r="AQ27" s="445"/>
      <c r="AR27" s="445"/>
      <c r="AS27" s="445"/>
      <c r="AT27" s="445"/>
      <c r="AU27" s="445"/>
      <c r="AV27" s="445"/>
      <c r="AW27" s="445"/>
      <c r="AX27" s="445"/>
      <c r="AY27" s="445"/>
      <c r="AZ27" s="445"/>
      <c r="BA27" s="445"/>
      <c r="BB27" s="445"/>
      <c r="BC27" s="445"/>
      <c r="BD27" s="445"/>
      <c r="BE27" s="445"/>
      <c r="BF27" s="445"/>
      <c r="BG27" s="445"/>
      <c r="BH27" s="445"/>
      <c r="BI27" s="445"/>
      <c r="BJ27" s="370"/>
      <c r="BK27" s="370"/>
      <c r="BL27" s="370"/>
      <c r="BM27" s="370"/>
      <c r="BN27" s="370"/>
      <c r="BO27" s="370"/>
      <c r="BP27" s="370"/>
      <c r="BQ27" s="370"/>
      <c r="BR27" s="371"/>
      <c r="BS27" s="120"/>
      <c r="BT27" s="120"/>
      <c r="BU27" s="34">
        <f t="shared" si="0"/>
        <v>15.97</v>
      </c>
    </row>
    <row r="28" spans="1:73" s="296" customFormat="1">
      <c r="A28" s="545">
        <v>51</v>
      </c>
      <c r="B28" s="630" t="str">
        <f>+Summary!A77</f>
        <v>Clean engine bilge, check for corrosion and paint</v>
      </c>
      <c r="C28" s="444"/>
      <c r="D28" s="445"/>
      <c r="E28" s="445"/>
      <c r="F28" s="445"/>
      <c r="G28" s="445"/>
      <c r="H28" s="445"/>
      <c r="I28" s="445"/>
      <c r="J28" s="445"/>
      <c r="K28" s="445"/>
      <c r="L28" s="445"/>
      <c r="M28" s="445"/>
      <c r="N28" s="445"/>
      <c r="O28" s="445"/>
      <c r="P28" s="445"/>
      <c r="Q28" s="445"/>
      <c r="R28" s="445"/>
      <c r="S28" s="445"/>
      <c r="T28" s="445"/>
      <c r="U28" s="445"/>
      <c r="V28" s="445"/>
      <c r="W28" s="445"/>
      <c r="X28" s="445"/>
      <c r="Y28" s="445"/>
      <c r="Z28" s="445"/>
      <c r="AA28" s="445"/>
      <c r="AB28" s="445"/>
      <c r="AC28" s="445"/>
      <c r="AD28" s="445"/>
      <c r="AE28" s="445"/>
      <c r="AF28" s="445"/>
      <c r="AG28" s="445"/>
      <c r="AH28" s="445"/>
      <c r="AI28" s="445"/>
      <c r="AJ28" s="445"/>
      <c r="AK28" s="445"/>
      <c r="AL28" s="445"/>
      <c r="AM28" s="445"/>
      <c r="AN28" s="445"/>
      <c r="AO28" s="445"/>
      <c r="AP28" s="445"/>
      <c r="AQ28" s="445"/>
      <c r="AR28" s="445"/>
      <c r="AS28" s="445"/>
      <c r="AT28" s="445"/>
      <c r="AU28" s="445"/>
      <c r="AV28" s="445"/>
      <c r="AW28" s="445"/>
      <c r="AX28" s="445"/>
      <c r="AY28" s="445"/>
      <c r="AZ28" s="445"/>
      <c r="BA28" s="445"/>
      <c r="BB28" s="445"/>
      <c r="BC28" s="445"/>
      <c r="BD28" s="445"/>
      <c r="BE28" s="445"/>
      <c r="BF28" s="445"/>
      <c r="BG28" s="445"/>
      <c r="BH28" s="445"/>
      <c r="BI28" s="445"/>
      <c r="BJ28" s="370"/>
      <c r="BK28" s="370"/>
      <c r="BL28" s="370"/>
      <c r="BM28" s="370"/>
      <c r="BN28" s="370"/>
      <c r="BO28" s="370"/>
      <c r="BP28" s="370"/>
      <c r="BQ28" s="370"/>
      <c r="BR28" s="371"/>
      <c r="BS28" s="120"/>
      <c r="BT28" s="120"/>
      <c r="BU28" s="34">
        <f t="shared" si="0"/>
        <v>0</v>
      </c>
    </row>
    <row r="29" spans="1:73" s="296" customFormat="1">
      <c r="A29" s="539">
        <v>38</v>
      </c>
      <c r="B29" s="631" t="str">
        <f>+Summary!A78</f>
        <v>Painting programme - front well, gunnel, rear counter, general touch-up</v>
      </c>
      <c r="C29" s="444"/>
      <c r="D29" s="445"/>
      <c r="E29" s="445"/>
      <c r="F29" s="445"/>
      <c r="G29" s="445"/>
      <c r="H29" s="445"/>
      <c r="I29" s="445"/>
      <c r="J29" s="445"/>
      <c r="K29" s="445"/>
      <c r="L29" s="445"/>
      <c r="M29" s="445"/>
      <c r="N29" s="445"/>
      <c r="O29" s="445"/>
      <c r="P29" s="445"/>
      <c r="Q29" s="445"/>
      <c r="R29" s="445"/>
      <c r="S29" s="445"/>
      <c r="T29" s="445"/>
      <c r="U29" s="445"/>
      <c r="V29" s="445"/>
      <c r="W29" s="445"/>
      <c r="X29" s="445"/>
      <c r="Y29" s="445"/>
      <c r="Z29" s="445"/>
      <c r="AA29" s="445"/>
      <c r="AB29" s="445"/>
      <c r="AC29" s="445"/>
      <c r="AD29" s="445"/>
      <c r="AE29" s="445"/>
      <c r="AF29" s="445"/>
      <c r="AG29" s="445"/>
      <c r="AH29" s="445"/>
      <c r="AI29" s="445"/>
      <c r="AJ29" s="445"/>
      <c r="AK29" s="445"/>
      <c r="AL29" s="445"/>
      <c r="AM29" s="445"/>
      <c r="AN29" s="445"/>
      <c r="AO29" s="445"/>
      <c r="AP29" s="445"/>
      <c r="AQ29" s="445"/>
      <c r="AR29" s="445"/>
      <c r="AS29" s="445"/>
      <c r="AT29" s="445"/>
      <c r="AU29" s="445"/>
      <c r="AV29" s="445"/>
      <c r="AW29" s="445"/>
      <c r="AX29" s="445"/>
      <c r="AY29" s="445"/>
      <c r="AZ29" s="445"/>
      <c r="BA29" s="445"/>
      <c r="BB29" s="445"/>
      <c r="BC29" s="445"/>
      <c r="BD29" s="445"/>
      <c r="BE29" s="445"/>
      <c r="BF29" s="445"/>
      <c r="BG29" s="445"/>
      <c r="BH29" s="445"/>
      <c r="BI29" s="445"/>
      <c r="BJ29" s="370"/>
      <c r="BK29" s="370"/>
      <c r="BL29" s="370"/>
      <c r="BM29" s="370"/>
      <c r="BN29" s="370"/>
      <c r="BO29" s="370"/>
      <c r="BP29" s="370"/>
      <c r="BQ29" s="370"/>
      <c r="BR29" s="371"/>
      <c r="BS29" s="120"/>
      <c r="BT29" s="120"/>
      <c r="BU29" s="34">
        <f t="shared" si="0"/>
        <v>0</v>
      </c>
    </row>
    <row r="30" spans="1:73" s="296" customFormat="1">
      <c r="A30" s="539">
        <v>43</v>
      </c>
      <c r="B30" s="631" t="str">
        <f>+Summary!A79</f>
        <v>Find or replace tiller</v>
      </c>
      <c r="C30" s="444"/>
      <c r="D30" s="445"/>
      <c r="E30" s="445"/>
      <c r="F30" s="445"/>
      <c r="G30" s="445"/>
      <c r="H30" s="445"/>
      <c r="I30" s="445"/>
      <c r="J30" s="445"/>
      <c r="K30" s="445"/>
      <c r="L30" s="445"/>
      <c r="M30" s="445"/>
      <c r="N30" s="445"/>
      <c r="O30" s="445"/>
      <c r="P30" s="445"/>
      <c r="Q30" s="445"/>
      <c r="R30" s="445"/>
      <c r="S30" s="445"/>
      <c r="T30" s="445"/>
      <c r="U30" s="445"/>
      <c r="V30" s="445"/>
      <c r="W30" s="445"/>
      <c r="X30" s="445"/>
      <c r="Y30" s="445"/>
      <c r="Z30" s="445"/>
      <c r="AA30" s="445"/>
      <c r="AB30" s="445"/>
      <c r="AC30" s="445"/>
      <c r="AD30" s="445"/>
      <c r="AE30" s="445"/>
      <c r="AF30" s="445"/>
      <c r="AG30" s="445"/>
      <c r="AH30" s="445"/>
      <c r="AI30" s="445"/>
      <c r="AJ30" s="445"/>
      <c r="AK30" s="445"/>
      <c r="AL30" s="445"/>
      <c r="AM30" s="445"/>
      <c r="AN30" s="445"/>
      <c r="AO30" s="445"/>
      <c r="AP30" s="445"/>
      <c r="AQ30" s="445"/>
      <c r="AR30" s="445"/>
      <c r="AS30" s="445"/>
      <c r="AT30" s="445"/>
      <c r="AU30" s="445">
        <v>20</v>
      </c>
      <c r="AV30" s="445"/>
      <c r="AW30" s="445"/>
      <c r="AX30" s="445"/>
      <c r="AY30" s="445"/>
      <c r="AZ30" s="445"/>
      <c r="BA30" s="445"/>
      <c r="BB30" s="445"/>
      <c r="BC30" s="445"/>
      <c r="BD30" s="445"/>
      <c r="BE30" s="445"/>
      <c r="BF30" s="445"/>
      <c r="BG30" s="445"/>
      <c r="BH30" s="445"/>
      <c r="BI30" s="445"/>
      <c r="BJ30" s="370"/>
      <c r="BK30" s="370"/>
      <c r="BL30" s="370"/>
      <c r="BM30" s="370"/>
      <c r="BN30" s="370"/>
      <c r="BO30" s="370"/>
      <c r="BP30" s="370"/>
      <c r="BQ30" s="370"/>
      <c r="BR30" s="371"/>
      <c r="BS30" s="120"/>
      <c r="BT30" s="120"/>
      <c r="BU30" s="34">
        <f t="shared" si="0"/>
        <v>20</v>
      </c>
    </row>
    <row r="31" spans="1:73" s="296" customFormat="1">
      <c r="A31" s="539">
        <v>34</v>
      </c>
      <c r="B31" s="631" t="str">
        <f>+Summary!A80</f>
        <v>Lights replacement/upgrade (see list at bottom)</v>
      </c>
      <c r="C31" s="444"/>
      <c r="D31" s="445"/>
      <c r="E31" s="445"/>
      <c r="F31" s="445"/>
      <c r="G31" s="445"/>
      <c r="H31" s="445"/>
      <c r="I31" s="445"/>
      <c r="J31" s="445"/>
      <c r="K31" s="445"/>
      <c r="L31" s="445"/>
      <c r="M31" s="445"/>
      <c r="N31" s="445"/>
      <c r="O31" s="445"/>
      <c r="P31" s="445"/>
      <c r="Q31" s="445"/>
      <c r="R31" s="445"/>
      <c r="S31" s="445"/>
      <c r="T31" s="445"/>
      <c r="U31" s="445"/>
      <c r="V31" s="445"/>
      <c r="W31" s="445"/>
      <c r="X31" s="445"/>
      <c r="Y31" s="445"/>
      <c r="Z31" s="445"/>
      <c r="AA31" s="445"/>
      <c r="AB31" s="445"/>
      <c r="AC31" s="445"/>
      <c r="AD31" s="445"/>
      <c r="AE31" s="445"/>
      <c r="AF31" s="445"/>
      <c r="AG31" s="445"/>
      <c r="AH31" s="445"/>
      <c r="AI31" s="445"/>
      <c r="AJ31" s="445"/>
      <c r="AK31" s="445"/>
      <c r="AL31" s="445"/>
      <c r="AM31" s="445"/>
      <c r="AN31" s="445"/>
      <c r="AO31" s="445"/>
      <c r="AP31" s="445"/>
      <c r="AQ31" s="445"/>
      <c r="AR31" s="445"/>
      <c r="AS31" s="445"/>
      <c r="AT31" s="445"/>
      <c r="AU31" s="445"/>
      <c r="AV31" s="445"/>
      <c r="AW31" s="445"/>
      <c r="AX31" s="445"/>
      <c r="AY31" s="445"/>
      <c r="AZ31" s="445"/>
      <c r="BA31" s="445"/>
      <c r="BB31" s="445"/>
      <c r="BC31" s="445"/>
      <c r="BD31" s="445"/>
      <c r="BE31" s="445"/>
      <c r="BF31" s="445"/>
      <c r="BG31" s="445"/>
      <c r="BH31" s="445"/>
      <c r="BI31" s="445"/>
      <c r="BJ31" s="370"/>
      <c r="BK31" s="370"/>
      <c r="BL31" s="370"/>
      <c r="BM31" s="370"/>
      <c r="BN31" s="370"/>
      <c r="BO31" s="370"/>
      <c r="BP31" s="370"/>
      <c r="BQ31" s="370"/>
      <c r="BR31" s="371"/>
      <c r="BS31" s="120"/>
      <c r="BT31" s="120"/>
      <c r="BU31" s="34">
        <f t="shared" si="0"/>
        <v>0</v>
      </c>
    </row>
    <row r="32" spans="1:73" s="296" customFormat="1">
      <c r="A32" s="539">
        <v>61</v>
      </c>
      <c r="B32" s="630" t="str">
        <f>+Summary!A81</f>
        <v>Resolve water pump voltage problem</v>
      </c>
      <c r="C32" s="444"/>
      <c r="D32" s="445"/>
      <c r="E32" s="445"/>
      <c r="F32" s="445"/>
      <c r="G32" s="445"/>
      <c r="H32" s="445"/>
      <c r="I32" s="445"/>
      <c r="J32" s="445"/>
      <c r="K32" s="445"/>
      <c r="L32" s="445"/>
      <c r="M32" s="445"/>
      <c r="N32" s="445"/>
      <c r="O32" s="445"/>
      <c r="P32" s="445"/>
      <c r="Q32" s="445"/>
      <c r="R32" s="445"/>
      <c r="S32" s="445"/>
      <c r="T32" s="445"/>
      <c r="U32" s="445"/>
      <c r="V32" s="445"/>
      <c r="W32" s="445"/>
      <c r="X32" s="445"/>
      <c r="Y32" s="445"/>
      <c r="Z32" s="445"/>
      <c r="AA32" s="445"/>
      <c r="AB32" s="445"/>
      <c r="AC32" s="445"/>
      <c r="AD32" s="445"/>
      <c r="AE32" s="445"/>
      <c r="AF32" s="445"/>
      <c r="AG32" s="445"/>
      <c r="AH32" s="445"/>
      <c r="AI32" s="445"/>
      <c r="AJ32" s="445"/>
      <c r="AK32" s="445"/>
      <c r="AL32" s="445"/>
      <c r="AM32" s="445"/>
      <c r="AN32" s="445"/>
      <c r="AO32" s="445"/>
      <c r="AP32" s="445"/>
      <c r="AQ32" s="445"/>
      <c r="AR32" s="445"/>
      <c r="AS32" s="445"/>
      <c r="AT32" s="445"/>
      <c r="AU32" s="445"/>
      <c r="AV32" s="445"/>
      <c r="AW32" s="445"/>
      <c r="AX32" s="445"/>
      <c r="AY32" s="445"/>
      <c r="AZ32" s="445"/>
      <c r="BA32" s="445"/>
      <c r="BB32" s="445"/>
      <c r="BC32" s="445"/>
      <c r="BD32" s="445"/>
      <c r="BE32" s="445"/>
      <c r="BF32" s="445"/>
      <c r="BG32" s="445"/>
      <c r="BH32" s="445"/>
      <c r="BI32" s="445"/>
      <c r="BJ32" s="370"/>
      <c r="BK32" s="370"/>
      <c r="BL32" s="370"/>
      <c r="BM32" s="370"/>
      <c r="BN32" s="370"/>
      <c r="BO32" s="370"/>
      <c r="BP32" s="370"/>
      <c r="BQ32" s="370"/>
      <c r="BR32" s="371"/>
      <c r="BS32" s="120"/>
      <c r="BT32" s="120"/>
      <c r="BU32" s="34">
        <f t="shared" si="0"/>
        <v>0</v>
      </c>
    </row>
    <row r="33" spans="1:73" s="296" customFormat="1">
      <c r="A33" s="539">
        <v>36</v>
      </c>
      <c r="B33" s="630" t="str">
        <f>+Summary!A82</f>
        <v>USB upgrades (2.1A) and install shelf with space for sockets and phones?</v>
      </c>
      <c r="C33" s="444"/>
      <c r="D33" s="445"/>
      <c r="E33" s="445"/>
      <c r="F33" s="445"/>
      <c r="G33" s="445"/>
      <c r="H33" s="445"/>
      <c r="I33" s="445"/>
      <c r="J33" s="445"/>
      <c r="K33" s="445"/>
      <c r="L33" s="445"/>
      <c r="M33" s="445"/>
      <c r="N33" s="445"/>
      <c r="O33" s="445"/>
      <c r="P33" s="445"/>
      <c r="Q33" s="445"/>
      <c r="R33" s="445"/>
      <c r="S33" s="445"/>
      <c r="T33" s="445"/>
      <c r="U33" s="445"/>
      <c r="V33" s="445"/>
      <c r="W33" s="445"/>
      <c r="X33" s="445"/>
      <c r="Y33" s="445"/>
      <c r="Z33" s="445"/>
      <c r="AA33" s="445"/>
      <c r="AB33" s="445"/>
      <c r="AC33" s="445"/>
      <c r="AD33" s="445"/>
      <c r="AE33" s="445"/>
      <c r="AF33" s="445"/>
      <c r="AG33" s="445"/>
      <c r="AH33" s="445"/>
      <c r="AI33" s="445"/>
      <c r="AJ33" s="445"/>
      <c r="AK33" s="445"/>
      <c r="AL33" s="445"/>
      <c r="AM33" s="445"/>
      <c r="AN33" s="445"/>
      <c r="AO33" s="445"/>
      <c r="AP33" s="445"/>
      <c r="AQ33" s="445"/>
      <c r="AR33" s="445"/>
      <c r="AS33" s="445"/>
      <c r="AT33" s="445"/>
      <c r="AU33" s="445"/>
      <c r="AV33" s="445"/>
      <c r="AW33" s="445"/>
      <c r="AX33" s="445"/>
      <c r="AY33" s="445"/>
      <c r="AZ33" s="445"/>
      <c r="BA33" s="445"/>
      <c r="BB33" s="445"/>
      <c r="BC33" s="445"/>
      <c r="BD33" s="445"/>
      <c r="BE33" s="445"/>
      <c r="BF33" s="445"/>
      <c r="BG33" s="445"/>
      <c r="BH33" s="445"/>
      <c r="BI33" s="445"/>
      <c r="BJ33" s="370"/>
      <c r="BK33" s="370"/>
      <c r="BL33" s="370"/>
      <c r="BM33" s="370"/>
      <c r="BN33" s="370"/>
      <c r="BO33" s="370"/>
      <c r="BP33" s="370"/>
      <c r="BQ33" s="370"/>
      <c r="BR33" s="371"/>
      <c r="BS33" s="120"/>
      <c r="BT33" s="120"/>
      <c r="BU33" s="34">
        <f t="shared" si="0"/>
        <v>0</v>
      </c>
    </row>
    <row r="34" spans="1:73" s="296" customFormat="1">
      <c r="A34" s="539">
        <v>35</v>
      </c>
      <c r="B34" s="630" t="str">
        <f>+Summary!A83</f>
        <v>Fit new silencer</v>
      </c>
      <c r="C34" s="444"/>
      <c r="D34" s="445"/>
      <c r="E34" s="445"/>
      <c r="F34" s="445"/>
      <c r="G34" s="445">
        <v>12.74</v>
      </c>
      <c r="H34" s="445"/>
      <c r="I34" s="445"/>
      <c r="J34" s="445"/>
      <c r="K34" s="445"/>
      <c r="L34" s="445"/>
      <c r="M34" s="445"/>
      <c r="N34" s="445"/>
      <c r="O34" s="445"/>
      <c r="P34" s="445"/>
      <c r="Q34" s="445"/>
      <c r="R34" s="445"/>
      <c r="S34" s="445"/>
      <c r="T34" s="445"/>
      <c r="U34" s="445"/>
      <c r="V34" s="445">
        <v>64.739999999999995</v>
      </c>
      <c r="W34" s="445"/>
      <c r="X34" s="445"/>
      <c r="Y34" s="445"/>
      <c r="Z34" s="445"/>
      <c r="AA34" s="445"/>
      <c r="AB34" s="445"/>
      <c r="AC34" s="445"/>
      <c r="AD34" s="445"/>
      <c r="AE34" s="445"/>
      <c r="AF34" s="445"/>
      <c r="AG34" s="445"/>
      <c r="AH34" s="445"/>
      <c r="AI34" s="445"/>
      <c r="AJ34" s="445"/>
      <c r="AK34" s="445"/>
      <c r="AL34" s="445"/>
      <c r="AM34" s="445"/>
      <c r="AN34" s="445"/>
      <c r="AO34" s="445"/>
      <c r="AP34" s="445"/>
      <c r="AQ34" s="445"/>
      <c r="AR34" s="445"/>
      <c r="AS34" s="445"/>
      <c r="AT34" s="445"/>
      <c r="AU34" s="445"/>
      <c r="AV34" s="445"/>
      <c r="AW34" s="445"/>
      <c r="AX34" s="445"/>
      <c r="AY34" s="445"/>
      <c r="AZ34" s="445"/>
      <c r="BA34" s="445"/>
      <c r="BB34" s="445"/>
      <c r="BC34" s="445"/>
      <c r="BD34" s="445"/>
      <c r="BE34" s="445"/>
      <c r="BF34" s="445"/>
      <c r="BG34" s="445"/>
      <c r="BH34" s="445"/>
      <c r="BI34" s="445"/>
      <c r="BJ34" s="370"/>
      <c r="BK34" s="370"/>
      <c r="BL34" s="370"/>
      <c r="BM34" s="370"/>
      <c r="BN34" s="370"/>
      <c r="BO34" s="370"/>
      <c r="BP34" s="370"/>
      <c r="BQ34" s="370"/>
      <c r="BR34" s="371"/>
      <c r="BS34" s="120"/>
      <c r="BT34" s="120"/>
      <c r="BU34" s="34">
        <f t="shared" si="0"/>
        <v>77.47999999999999</v>
      </c>
    </row>
    <row r="35" spans="1:73" s="296" customFormat="1">
      <c r="A35" s="539">
        <v>32</v>
      </c>
      <c r="B35" s="630" t="str">
        <f>+Summary!A84</f>
        <v>Diesel leak under steps</v>
      </c>
      <c r="C35" s="444"/>
      <c r="D35" s="445"/>
      <c r="E35" s="445"/>
      <c r="F35" s="445"/>
      <c r="G35" s="445"/>
      <c r="H35" s="445"/>
      <c r="I35" s="445"/>
      <c r="J35" s="445"/>
      <c r="K35" s="445"/>
      <c r="L35" s="445"/>
      <c r="M35" s="445"/>
      <c r="N35" s="445"/>
      <c r="O35" s="445"/>
      <c r="P35" s="445"/>
      <c r="Q35" s="445"/>
      <c r="R35" s="445"/>
      <c r="S35" s="445"/>
      <c r="T35" s="445"/>
      <c r="U35" s="445"/>
      <c r="V35" s="445"/>
      <c r="W35" s="445"/>
      <c r="X35" s="445"/>
      <c r="Y35" s="445"/>
      <c r="Z35" s="445"/>
      <c r="AA35" s="445"/>
      <c r="AB35" s="445"/>
      <c r="AC35" s="445"/>
      <c r="AD35" s="445"/>
      <c r="AE35" s="445"/>
      <c r="AF35" s="445"/>
      <c r="AG35" s="445"/>
      <c r="AH35" s="445"/>
      <c r="AI35" s="445"/>
      <c r="AJ35" s="445"/>
      <c r="AK35" s="445"/>
      <c r="AL35" s="445"/>
      <c r="AM35" s="445"/>
      <c r="AN35" s="445"/>
      <c r="AO35" s="445"/>
      <c r="AP35" s="445"/>
      <c r="AQ35" s="445"/>
      <c r="AR35" s="445"/>
      <c r="AS35" s="445"/>
      <c r="AT35" s="445"/>
      <c r="AU35" s="445"/>
      <c r="AV35" s="445"/>
      <c r="AW35" s="445"/>
      <c r="AX35" s="445"/>
      <c r="AY35" s="445"/>
      <c r="AZ35" s="445"/>
      <c r="BA35" s="445"/>
      <c r="BB35" s="445"/>
      <c r="BC35" s="445"/>
      <c r="BD35" s="445"/>
      <c r="BE35" s="445"/>
      <c r="BF35" s="445"/>
      <c r="BG35" s="445"/>
      <c r="BH35" s="445"/>
      <c r="BI35" s="445"/>
      <c r="BJ35" s="370"/>
      <c r="BK35" s="370"/>
      <c r="BL35" s="370"/>
      <c r="BM35" s="370"/>
      <c r="BN35" s="370"/>
      <c r="BO35" s="370"/>
      <c r="BP35" s="370"/>
      <c r="BQ35" s="370"/>
      <c r="BR35" s="371"/>
      <c r="BS35" s="120"/>
      <c r="BT35" s="120"/>
      <c r="BU35" s="34">
        <f>SUM(D35:BQ35)</f>
        <v>0</v>
      </c>
    </row>
    <row r="36" spans="1:73" s="296" customFormat="1">
      <c r="A36" s="539">
        <v>33</v>
      </c>
      <c r="B36" s="630" t="str">
        <f>+Summary!A85</f>
        <v xml:space="preserve">Add spotlight option to front headlight.  </v>
      </c>
      <c r="C36" s="444"/>
      <c r="D36" s="445"/>
      <c r="E36" s="445"/>
      <c r="F36" s="445"/>
      <c r="G36" s="445"/>
      <c r="H36" s="445"/>
      <c r="I36" s="445"/>
      <c r="J36" s="445"/>
      <c r="K36" s="445"/>
      <c r="L36" s="445"/>
      <c r="M36" s="445"/>
      <c r="N36" s="445"/>
      <c r="O36" s="445"/>
      <c r="P36" s="445"/>
      <c r="Q36" s="445"/>
      <c r="R36" s="445"/>
      <c r="S36" s="445"/>
      <c r="T36" s="445"/>
      <c r="U36" s="445"/>
      <c r="V36" s="445"/>
      <c r="W36" s="445"/>
      <c r="X36" s="445"/>
      <c r="Y36" s="445"/>
      <c r="Z36" s="445"/>
      <c r="AA36" s="445"/>
      <c r="AB36" s="445"/>
      <c r="AC36" s="445"/>
      <c r="AD36" s="445"/>
      <c r="AE36" s="445"/>
      <c r="AF36" s="445"/>
      <c r="AG36" s="445"/>
      <c r="AH36" s="445"/>
      <c r="AI36" s="445"/>
      <c r="AJ36" s="445"/>
      <c r="AK36" s="445"/>
      <c r="AL36" s="445"/>
      <c r="AM36" s="445"/>
      <c r="AN36" s="445"/>
      <c r="AO36" s="445"/>
      <c r="AP36" s="445"/>
      <c r="AQ36" s="445"/>
      <c r="AR36" s="445"/>
      <c r="AS36" s="445"/>
      <c r="AT36" s="445"/>
      <c r="AU36" s="445"/>
      <c r="AV36" s="445"/>
      <c r="AW36" s="445"/>
      <c r="AX36" s="445"/>
      <c r="AY36" s="445"/>
      <c r="AZ36" s="445"/>
      <c r="BA36" s="445"/>
      <c r="BB36" s="445"/>
      <c r="BC36" s="445"/>
      <c r="BD36" s="445"/>
      <c r="BE36" s="445"/>
      <c r="BF36" s="445"/>
      <c r="BG36" s="445"/>
      <c r="BH36" s="445"/>
      <c r="BI36" s="445"/>
      <c r="BJ36" s="370"/>
      <c r="BK36" s="370"/>
      <c r="BL36" s="370"/>
      <c r="BM36" s="370"/>
      <c r="BN36" s="370"/>
      <c r="BO36" s="370"/>
      <c r="BP36" s="370"/>
      <c r="BQ36" s="370"/>
      <c r="BR36" s="371"/>
      <c r="BS36" s="120"/>
      <c r="BT36" s="120"/>
      <c r="BU36" s="34">
        <f>SUM(D36:BQ36)</f>
        <v>0</v>
      </c>
    </row>
    <row r="37" spans="1:73" s="296" customFormat="1">
      <c r="A37" s="539">
        <v>39</v>
      </c>
      <c r="B37" s="630" t="str">
        <f>+Summary!A86</f>
        <v>Resolve starter issue</v>
      </c>
      <c r="C37" s="444"/>
      <c r="D37" s="445"/>
      <c r="E37" s="445"/>
      <c r="F37" s="445"/>
      <c r="G37" s="445"/>
      <c r="H37" s="445"/>
      <c r="I37" s="445"/>
      <c r="J37" s="445"/>
      <c r="K37" s="445"/>
      <c r="L37" s="445"/>
      <c r="M37" s="445"/>
      <c r="N37" s="445"/>
      <c r="O37" s="445"/>
      <c r="P37" s="445"/>
      <c r="Q37" s="445"/>
      <c r="R37" s="445"/>
      <c r="S37" s="445"/>
      <c r="T37" s="445"/>
      <c r="U37" s="445"/>
      <c r="V37" s="445"/>
      <c r="W37" s="445"/>
      <c r="X37" s="445"/>
      <c r="Y37" s="445"/>
      <c r="Z37" s="445"/>
      <c r="AA37" s="445"/>
      <c r="AB37" s="445"/>
      <c r="AC37" s="445"/>
      <c r="AD37" s="445"/>
      <c r="AE37" s="445"/>
      <c r="AF37" s="445"/>
      <c r="AG37" s="445"/>
      <c r="AH37" s="445"/>
      <c r="AI37" s="445"/>
      <c r="AJ37" s="445"/>
      <c r="AK37" s="445"/>
      <c r="AL37" s="445"/>
      <c r="AM37" s="445"/>
      <c r="AN37" s="445"/>
      <c r="AO37" s="445"/>
      <c r="AP37" s="445"/>
      <c r="AQ37" s="445"/>
      <c r="AR37" s="445"/>
      <c r="AS37" s="445"/>
      <c r="AT37" s="445"/>
      <c r="AU37" s="445"/>
      <c r="AV37" s="445"/>
      <c r="AW37" s="445"/>
      <c r="AX37" s="445"/>
      <c r="AY37" s="445"/>
      <c r="AZ37" s="445"/>
      <c r="BA37" s="445"/>
      <c r="BB37" s="445"/>
      <c r="BC37" s="445"/>
      <c r="BD37" s="445"/>
      <c r="BE37" s="445"/>
      <c r="BF37" s="445"/>
      <c r="BG37" s="445"/>
      <c r="BH37" s="445"/>
      <c r="BI37" s="445"/>
      <c r="BJ37" s="370"/>
      <c r="BK37" s="370"/>
      <c r="BL37" s="370"/>
      <c r="BM37" s="370"/>
      <c r="BN37" s="370"/>
      <c r="BO37" s="370"/>
      <c r="BP37" s="370"/>
      <c r="BQ37" s="370"/>
      <c r="BR37" s="371"/>
      <c r="BS37" s="120"/>
      <c r="BT37" s="120"/>
      <c r="BU37" s="34">
        <f>SUM(D37:BQ37)</f>
        <v>0</v>
      </c>
    </row>
    <row r="38" spans="1:73" s="296" customFormat="1">
      <c r="A38" s="539">
        <v>59</v>
      </c>
      <c r="B38" s="630" t="str">
        <f>+Summary!A87</f>
        <v>Make a new cover for the rear steps</v>
      </c>
      <c r="C38" s="444"/>
      <c r="D38" s="445"/>
      <c r="E38" s="445"/>
      <c r="F38" s="445"/>
      <c r="G38" s="445"/>
      <c r="H38" s="445"/>
      <c r="I38" s="445"/>
      <c r="J38" s="445"/>
      <c r="K38" s="445"/>
      <c r="L38" s="445"/>
      <c r="M38" s="445"/>
      <c r="N38" s="445"/>
      <c r="O38" s="445"/>
      <c r="P38" s="445"/>
      <c r="Q38" s="445"/>
      <c r="R38" s="445"/>
      <c r="S38" s="445"/>
      <c r="T38" s="445"/>
      <c r="U38" s="445"/>
      <c r="V38" s="445"/>
      <c r="W38" s="445"/>
      <c r="X38" s="445"/>
      <c r="Y38" s="445"/>
      <c r="Z38" s="445"/>
      <c r="AA38" s="445"/>
      <c r="AB38" s="445"/>
      <c r="AC38" s="445"/>
      <c r="AD38" s="445">
        <v>15.05</v>
      </c>
      <c r="AE38" s="445"/>
      <c r="AF38" s="445"/>
      <c r="AG38" s="445"/>
      <c r="AH38" s="445"/>
      <c r="AI38" s="445"/>
      <c r="AJ38" s="445"/>
      <c r="AK38" s="445"/>
      <c r="AL38" s="445"/>
      <c r="AM38" s="445"/>
      <c r="AN38" s="445"/>
      <c r="AO38" s="445"/>
      <c r="AP38" s="445"/>
      <c r="AQ38" s="445"/>
      <c r="AR38" s="445"/>
      <c r="AS38" s="445"/>
      <c r="AT38" s="445"/>
      <c r="AU38" s="445"/>
      <c r="AV38" s="445"/>
      <c r="AW38" s="445"/>
      <c r="AX38" s="445"/>
      <c r="AY38" s="445"/>
      <c r="AZ38" s="445"/>
      <c r="BA38" s="445"/>
      <c r="BB38" s="445"/>
      <c r="BC38" s="445"/>
      <c r="BD38" s="445"/>
      <c r="BE38" s="445"/>
      <c r="BF38" s="445"/>
      <c r="BG38" s="445"/>
      <c r="BH38" s="445"/>
      <c r="BI38" s="445"/>
      <c r="BJ38" s="370"/>
      <c r="BK38" s="370"/>
      <c r="BL38" s="370"/>
      <c r="BM38" s="370"/>
      <c r="BN38" s="370"/>
      <c r="BO38" s="370"/>
      <c r="BP38" s="370"/>
      <c r="BQ38" s="370"/>
      <c r="BR38" s="371"/>
      <c r="BS38" s="120"/>
      <c r="BT38" s="120"/>
      <c r="BU38" s="34">
        <f t="shared" ref="BU38:BU48" si="1">SUM(C38:BQ38)</f>
        <v>15.05</v>
      </c>
    </row>
    <row r="39" spans="1:73" s="296" customFormat="1">
      <c r="A39" s="539">
        <v>58</v>
      </c>
      <c r="B39" s="630" t="str">
        <f>+Summary!A88</f>
        <v>Replace rubber matting over rear boards</v>
      </c>
      <c r="C39" s="444"/>
      <c r="D39" s="445"/>
      <c r="E39" s="445"/>
      <c r="F39" s="445"/>
      <c r="G39" s="445"/>
      <c r="H39" s="445"/>
      <c r="I39" s="445"/>
      <c r="J39" s="445"/>
      <c r="K39" s="445"/>
      <c r="L39" s="445"/>
      <c r="M39" s="445"/>
      <c r="N39" s="445"/>
      <c r="O39" s="445"/>
      <c r="P39" s="445"/>
      <c r="Q39" s="445"/>
      <c r="R39" s="445"/>
      <c r="S39" s="445"/>
      <c r="T39" s="445"/>
      <c r="U39" s="445"/>
      <c r="V39" s="445"/>
      <c r="W39" s="445"/>
      <c r="X39" s="445"/>
      <c r="Y39" s="445"/>
      <c r="Z39" s="445"/>
      <c r="AA39" s="445"/>
      <c r="AB39" s="445"/>
      <c r="AC39" s="445"/>
      <c r="AD39" s="445"/>
      <c r="AE39" s="445"/>
      <c r="AF39" s="445"/>
      <c r="AG39" s="445"/>
      <c r="AH39" s="445"/>
      <c r="AI39" s="445"/>
      <c r="AJ39" s="445"/>
      <c r="AK39" s="445"/>
      <c r="AL39" s="445"/>
      <c r="AM39" s="445"/>
      <c r="AN39" s="445"/>
      <c r="AO39" s="445"/>
      <c r="AP39" s="445"/>
      <c r="AQ39" s="445"/>
      <c r="AR39" s="445"/>
      <c r="AS39" s="445"/>
      <c r="AT39" s="445"/>
      <c r="AU39" s="445"/>
      <c r="AV39" s="445"/>
      <c r="AW39" s="445"/>
      <c r="AX39" s="445"/>
      <c r="AY39" s="445"/>
      <c r="AZ39" s="445"/>
      <c r="BA39" s="445"/>
      <c r="BB39" s="445"/>
      <c r="BC39" s="445"/>
      <c r="BD39" s="445"/>
      <c r="BE39" s="445"/>
      <c r="BF39" s="445"/>
      <c r="BG39" s="445"/>
      <c r="BH39" s="445"/>
      <c r="BI39" s="445"/>
      <c r="BJ39" s="370"/>
      <c r="BK39" s="370"/>
      <c r="BL39" s="370"/>
      <c r="BM39" s="370"/>
      <c r="BN39" s="370"/>
      <c r="BO39" s="370"/>
      <c r="BP39" s="370"/>
      <c r="BQ39" s="370"/>
      <c r="BR39" s="371"/>
      <c r="BS39" s="120"/>
      <c r="BT39" s="120"/>
      <c r="BU39" s="34">
        <f t="shared" si="1"/>
        <v>0</v>
      </c>
    </row>
    <row r="40" spans="1:73" s="296" customFormat="1">
      <c r="A40" s="546">
        <v>62</v>
      </c>
      <c r="B40" s="631" t="str">
        <f>+Summary!A89</f>
        <v>Repair or replace rear boards (edging failed)</v>
      </c>
      <c r="C40" s="444"/>
      <c r="D40" s="445"/>
      <c r="E40" s="445"/>
      <c r="F40" s="445"/>
      <c r="G40" s="445"/>
      <c r="H40" s="445"/>
      <c r="I40" s="445"/>
      <c r="J40" s="445"/>
      <c r="K40" s="445"/>
      <c r="L40" s="445">
        <v>12.61</v>
      </c>
      <c r="M40" s="445"/>
      <c r="N40" s="445"/>
      <c r="O40" s="445"/>
      <c r="P40" s="445"/>
      <c r="Q40" s="445"/>
      <c r="R40" s="445"/>
      <c r="S40" s="445"/>
      <c r="T40" s="445"/>
      <c r="U40" s="445"/>
      <c r="V40" s="445"/>
      <c r="W40" s="445"/>
      <c r="X40" s="445"/>
      <c r="Y40" s="445"/>
      <c r="Z40" s="445"/>
      <c r="AA40" s="445"/>
      <c r="AB40" s="445"/>
      <c r="AC40" s="445"/>
      <c r="AD40" s="445">
        <v>98.68</v>
      </c>
      <c r="AE40" s="445"/>
      <c r="AF40" s="445"/>
      <c r="AG40" s="445"/>
      <c r="AH40" s="445"/>
      <c r="AI40" s="445"/>
      <c r="AJ40" s="445"/>
      <c r="AK40" s="445"/>
      <c r="AL40" s="445"/>
      <c r="AM40" s="445"/>
      <c r="AN40" s="445"/>
      <c r="AO40" s="445"/>
      <c r="AP40" s="445"/>
      <c r="AQ40" s="445"/>
      <c r="AR40" s="445"/>
      <c r="AS40" s="445"/>
      <c r="AT40" s="445"/>
      <c r="AU40" s="445"/>
      <c r="AV40" s="445"/>
      <c r="AW40" s="445"/>
      <c r="AX40" s="445"/>
      <c r="AY40" s="445"/>
      <c r="AZ40" s="445"/>
      <c r="BA40" s="445"/>
      <c r="BB40" s="445"/>
      <c r="BC40" s="445"/>
      <c r="BD40" s="445"/>
      <c r="BE40" s="445"/>
      <c r="BF40" s="445"/>
      <c r="BG40" s="445"/>
      <c r="BH40" s="445"/>
      <c r="BI40" s="445"/>
      <c r="BJ40" s="370"/>
      <c r="BK40" s="370"/>
      <c r="BL40" s="370"/>
      <c r="BM40" s="370"/>
      <c r="BN40" s="370"/>
      <c r="BO40" s="370"/>
      <c r="BP40" s="370"/>
      <c r="BQ40" s="370"/>
      <c r="BR40" s="371"/>
      <c r="BS40" s="120"/>
      <c r="BT40" s="120"/>
      <c r="BU40" s="34">
        <f t="shared" si="1"/>
        <v>111.29</v>
      </c>
    </row>
    <row r="41" spans="1:73" s="296" customFormat="1">
      <c r="A41" s="546">
        <v>41</v>
      </c>
      <c r="B41" s="630" t="str">
        <f>+Summary!A90</f>
        <v>Refix front fender</v>
      </c>
      <c r="C41" s="444"/>
      <c r="D41" s="445"/>
      <c r="E41" s="445"/>
      <c r="F41" s="445"/>
      <c r="G41" s="445"/>
      <c r="H41" s="445"/>
      <c r="I41" s="445"/>
      <c r="J41" s="445"/>
      <c r="K41" s="445"/>
      <c r="L41" s="445"/>
      <c r="M41" s="445"/>
      <c r="N41" s="445"/>
      <c r="O41" s="445"/>
      <c r="P41" s="445"/>
      <c r="Q41" s="445"/>
      <c r="R41" s="445"/>
      <c r="S41" s="445"/>
      <c r="T41" s="445"/>
      <c r="U41" s="445"/>
      <c r="V41" s="445"/>
      <c r="W41" s="445"/>
      <c r="X41" s="445"/>
      <c r="Y41" s="445"/>
      <c r="Z41" s="445"/>
      <c r="AA41" s="445"/>
      <c r="AB41" s="445"/>
      <c r="AC41" s="445"/>
      <c r="AD41" s="445"/>
      <c r="AE41" s="445"/>
      <c r="AF41" s="445"/>
      <c r="AG41" s="445"/>
      <c r="AH41" s="445"/>
      <c r="AI41" s="445"/>
      <c r="AJ41" s="445"/>
      <c r="AK41" s="445"/>
      <c r="AL41" s="445"/>
      <c r="AM41" s="445"/>
      <c r="AN41" s="445"/>
      <c r="AO41" s="445"/>
      <c r="AP41" s="445"/>
      <c r="AQ41" s="445"/>
      <c r="AR41" s="445"/>
      <c r="AS41" s="445"/>
      <c r="AT41" s="445"/>
      <c r="AU41" s="445"/>
      <c r="AV41" s="445"/>
      <c r="AW41" s="445"/>
      <c r="AX41" s="445"/>
      <c r="AY41" s="445"/>
      <c r="AZ41" s="445"/>
      <c r="BA41" s="445"/>
      <c r="BB41" s="445"/>
      <c r="BC41" s="445"/>
      <c r="BD41" s="445"/>
      <c r="BE41" s="445"/>
      <c r="BF41" s="445"/>
      <c r="BG41" s="445"/>
      <c r="BH41" s="445"/>
      <c r="BI41" s="445"/>
      <c r="BJ41" s="370"/>
      <c r="BK41" s="370"/>
      <c r="BL41" s="370"/>
      <c r="BM41" s="370"/>
      <c r="BN41" s="370"/>
      <c r="BO41" s="370"/>
      <c r="BP41" s="370"/>
      <c r="BQ41" s="370"/>
      <c r="BR41" s="371"/>
      <c r="BS41" s="120"/>
      <c r="BT41" s="120"/>
      <c r="BU41" s="34">
        <f t="shared" si="1"/>
        <v>0</v>
      </c>
    </row>
    <row r="42" spans="1:73" s="296" customFormat="1">
      <c r="A42" s="541"/>
      <c r="B42" s="630" t="str">
        <f>+Summary!A91</f>
        <v>Replace rotting side hatch door</v>
      </c>
      <c r="C42" s="444"/>
      <c r="D42" s="445"/>
      <c r="E42" s="445"/>
      <c r="F42" s="445"/>
      <c r="G42" s="445"/>
      <c r="H42" s="445"/>
      <c r="I42" s="445"/>
      <c r="J42" s="445"/>
      <c r="K42" s="445"/>
      <c r="L42" s="445"/>
      <c r="M42" s="445"/>
      <c r="N42" s="445"/>
      <c r="O42" s="445"/>
      <c r="P42" s="445"/>
      <c r="Q42" s="445"/>
      <c r="R42" s="445"/>
      <c r="S42" s="445"/>
      <c r="T42" s="445"/>
      <c r="U42" s="445"/>
      <c r="V42" s="445"/>
      <c r="W42" s="445"/>
      <c r="X42" s="445"/>
      <c r="Y42" s="445"/>
      <c r="Z42" s="445"/>
      <c r="AA42" s="445"/>
      <c r="AB42" s="445"/>
      <c r="AC42" s="445"/>
      <c r="AD42" s="445"/>
      <c r="AE42" s="445"/>
      <c r="AF42" s="445"/>
      <c r="AG42" s="445"/>
      <c r="AH42" s="445"/>
      <c r="AI42" s="445"/>
      <c r="AJ42" s="445"/>
      <c r="AK42" s="445"/>
      <c r="AL42" s="445"/>
      <c r="AM42" s="445"/>
      <c r="AN42" s="445"/>
      <c r="AO42" s="445"/>
      <c r="AP42" s="445"/>
      <c r="AQ42" s="445"/>
      <c r="AR42" s="445"/>
      <c r="AS42" s="445"/>
      <c r="AT42" s="445"/>
      <c r="AU42" s="445"/>
      <c r="AV42" s="445"/>
      <c r="AW42" s="445"/>
      <c r="AX42" s="445"/>
      <c r="AY42" s="445"/>
      <c r="AZ42" s="445"/>
      <c r="BA42" s="445"/>
      <c r="BB42" s="445"/>
      <c r="BC42" s="445"/>
      <c r="BD42" s="445"/>
      <c r="BE42" s="445"/>
      <c r="BF42" s="445"/>
      <c r="BG42" s="445"/>
      <c r="BH42" s="445"/>
      <c r="BI42" s="445"/>
      <c r="BJ42" s="370"/>
      <c r="BK42" s="370"/>
      <c r="BL42" s="370"/>
      <c r="BM42" s="370"/>
      <c r="BN42" s="370"/>
      <c r="BO42" s="370"/>
      <c r="BP42" s="370"/>
      <c r="BQ42" s="370"/>
      <c r="BR42" s="371"/>
      <c r="BS42" s="120"/>
      <c r="BT42" s="120"/>
      <c r="BU42" s="34">
        <f t="shared" si="1"/>
        <v>0</v>
      </c>
    </row>
    <row r="43" spans="1:73" s="296" customFormat="1">
      <c r="A43" s="540"/>
      <c r="B43" s="630">
        <f>+Summary!A92</f>
        <v>0</v>
      </c>
      <c r="C43" s="444"/>
      <c r="D43" s="445"/>
      <c r="E43" s="445"/>
      <c r="F43" s="445"/>
      <c r="G43" s="445"/>
      <c r="H43" s="445"/>
      <c r="I43" s="445"/>
      <c r="J43" s="445"/>
      <c r="K43" s="445"/>
      <c r="L43" s="445"/>
      <c r="M43" s="445"/>
      <c r="N43" s="445"/>
      <c r="O43" s="445"/>
      <c r="P43" s="445"/>
      <c r="Q43" s="445"/>
      <c r="R43" s="445"/>
      <c r="S43" s="445"/>
      <c r="T43" s="445"/>
      <c r="U43" s="445"/>
      <c r="V43" s="445"/>
      <c r="W43" s="445"/>
      <c r="X43" s="445"/>
      <c r="Y43" s="445"/>
      <c r="Z43" s="445"/>
      <c r="AA43" s="445"/>
      <c r="AB43" s="445"/>
      <c r="AC43" s="445"/>
      <c r="AD43" s="445"/>
      <c r="AE43" s="445"/>
      <c r="AF43" s="445"/>
      <c r="AG43" s="445"/>
      <c r="AH43" s="445"/>
      <c r="AI43" s="445"/>
      <c r="AJ43" s="445"/>
      <c r="AK43" s="445"/>
      <c r="AL43" s="445"/>
      <c r="AM43" s="445"/>
      <c r="AN43" s="445"/>
      <c r="AO43" s="445"/>
      <c r="AP43" s="445"/>
      <c r="AQ43" s="445"/>
      <c r="AR43" s="445"/>
      <c r="AS43" s="445"/>
      <c r="AT43" s="445"/>
      <c r="AU43" s="445"/>
      <c r="AV43" s="445"/>
      <c r="AW43" s="445"/>
      <c r="AX43" s="445"/>
      <c r="AY43" s="445"/>
      <c r="AZ43" s="445"/>
      <c r="BA43" s="445"/>
      <c r="BB43" s="445"/>
      <c r="BC43" s="445"/>
      <c r="BD43" s="445"/>
      <c r="BE43" s="445"/>
      <c r="BF43" s="445"/>
      <c r="BG43" s="445"/>
      <c r="BH43" s="445"/>
      <c r="BI43" s="445"/>
      <c r="BJ43" s="370"/>
      <c r="BK43" s="370"/>
      <c r="BL43" s="370"/>
      <c r="BM43" s="370"/>
      <c r="BN43" s="370"/>
      <c r="BO43" s="370"/>
      <c r="BP43" s="370"/>
      <c r="BQ43" s="370"/>
      <c r="BR43" s="371"/>
      <c r="BS43" s="120"/>
      <c r="BT43" s="120"/>
      <c r="BU43" s="34">
        <f t="shared" si="1"/>
        <v>0</v>
      </c>
    </row>
    <row r="44" spans="1:73" s="296" customFormat="1">
      <c r="A44" s="540"/>
      <c r="B44" s="630">
        <f>+Summary!A93</f>
        <v>0</v>
      </c>
      <c r="C44" s="444"/>
      <c r="D44" s="445"/>
      <c r="E44" s="445"/>
      <c r="F44" s="445"/>
      <c r="G44" s="445"/>
      <c r="H44" s="445"/>
      <c r="I44" s="445"/>
      <c r="J44" s="445"/>
      <c r="K44" s="445"/>
      <c r="L44" s="445"/>
      <c r="M44" s="445"/>
      <c r="N44" s="445"/>
      <c r="O44" s="445"/>
      <c r="P44" s="445"/>
      <c r="Q44" s="445"/>
      <c r="R44" s="445"/>
      <c r="S44" s="445"/>
      <c r="T44" s="445"/>
      <c r="U44" s="445"/>
      <c r="V44" s="445"/>
      <c r="W44" s="445"/>
      <c r="X44" s="445"/>
      <c r="Y44" s="445"/>
      <c r="Z44" s="445"/>
      <c r="AA44" s="445"/>
      <c r="AB44" s="445"/>
      <c r="AC44" s="445"/>
      <c r="AD44" s="445"/>
      <c r="AE44" s="445"/>
      <c r="AF44" s="445"/>
      <c r="AG44" s="445"/>
      <c r="AH44" s="445"/>
      <c r="AI44" s="445"/>
      <c r="AJ44" s="445"/>
      <c r="AK44" s="445"/>
      <c r="AL44" s="445"/>
      <c r="AM44" s="445"/>
      <c r="AN44" s="445"/>
      <c r="AO44" s="445"/>
      <c r="AP44" s="445"/>
      <c r="AQ44" s="445"/>
      <c r="AR44" s="445"/>
      <c r="AS44" s="445"/>
      <c r="AT44" s="445"/>
      <c r="AU44" s="445"/>
      <c r="AV44" s="445"/>
      <c r="AW44" s="445"/>
      <c r="AX44" s="445"/>
      <c r="AY44" s="445"/>
      <c r="AZ44" s="445"/>
      <c r="BA44" s="445"/>
      <c r="BB44" s="445"/>
      <c r="BC44" s="445"/>
      <c r="BD44" s="445"/>
      <c r="BE44" s="445"/>
      <c r="BF44" s="445"/>
      <c r="BG44" s="445"/>
      <c r="BH44" s="445"/>
      <c r="BI44" s="445"/>
      <c r="BJ44" s="370"/>
      <c r="BK44" s="370"/>
      <c r="BL44" s="370"/>
      <c r="BM44" s="370"/>
      <c r="BN44" s="370"/>
      <c r="BO44" s="370"/>
      <c r="BP44" s="370"/>
      <c r="BQ44" s="370"/>
      <c r="BR44" s="371"/>
      <c r="BS44" s="120"/>
      <c r="BT44" s="120"/>
      <c r="BU44" s="34">
        <f t="shared" si="1"/>
        <v>0</v>
      </c>
    </row>
    <row r="45" spans="1:73" s="296" customFormat="1">
      <c r="A45" s="540"/>
      <c r="B45" s="630" t="e">
        <f>+Summary!#REF!</f>
        <v>#REF!</v>
      </c>
      <c r="C45" s="444"/>
      <c r="D45" s="445"/>
      <c r="E45" s="445"/>
      <c r="F45" s="445"/>
      <c r="G45" s="445"/>
      <c r="H45" s="445"/>
      <c r="I45" s="445"/>
      <c r="J45" s="445"/>
      <c r="K45" s="445"/>
      <c r="L45" s="445"/>
      <c r="M45" s="445"/>
      <c r="N45" s="445"/>
      <c r="O45" s="445"/>
      <c r="P45" s="445"/>
      <c r="Q45" s="445"/>
      <c r="R45" s="445"/>
      <c r="S45" s="445"/>
      <c r="T45" s="445"/>
      <c r="U45" s="445"/>
      <c r="V45" s="445"/>
      <c r="W45" s="445"/>
      <c r="X45" s="445"/>
      <c r="Y45" s="445"/>
      <c r="Z45" s="445"/>
      <c r="AA45" s="445"/>
      <c r="AB45" s="445"/>
      <c r="AC45" s="445"/>
      <c r="AD45" s="445"/>
      <c r="AE45" s="445"/>
      <c r="AF45" s="445"/>
      <c r="AG45" s="445"/>
      <c r="AH45" s="445"/>
      <c r="AI45" s="445"/>
      <c r="AJ45" s="445"/>
      <c r="AK45" s="445"/>
      <c r="AL45" s="445"/>
      <c r="AM45" s="445"/>
      <c r="AN45" s="445"/>
      <c r="AO45" s="445"/>
      <c r="AP45" s="445"/>
      <c r="AQ45" s="445"/>
      <c r="AR45" s="445"/>
      <c r="AS45" s="445"/>
      <c r="AT45" s="445"/>
      <c r="AU45" s="445"/>
      <c r="AV45" s="445"/>
      <c r="AW45" s="445"/>
      <c r="AX45" s="445"/>
      <c r="AY45" s="445"/>
      <c r="AZ45" s="445"/>
      <c r="BA45" s="445"/>
      <c r="BB45" s="445"/>
      <c r="BC45" s="445"/>
      <c r="BD45" s="445"/>
      <c r="BE45" s="445"/>
      <c r="BF45" s="445"/>
      <c r="BG45" s="445"/>
      <c r="BH45" s="445"/>
      <c r="BI45" s="445"/>
      <c r="BJ45" s="370"/>
      <c r="BK45" s="370"/>
      <c r="BL45" s="370"/>
      <c r="BM45" s="370"/>
      <c r="BN45" s="370"/>
      <c r="BO45" s="370"/>
      <c r="BP45" s="370"/>
      <c r="BQ45" s="370"/>
      <c r="BR45" s="371"/>
      <c r="BS45" s="120"/>
      <c r="BT45" s="120"/>
      <c r="BU45" s="34">
        <f t="shared" si="1"/>
        <v>0</v>
      </c>
    </row>
    <row r="46" spans="1:73" s="296" customFormat="1">
      <c r="A46" s="540"/>
      <c r="B46" s="630">
        <f>+Summary!A95</f>
        <v>0</v>
      </c>
      <c r="C46" s="444"/>
      <c r="D46" s="445"/>
      <c r="E46" s="445"/>
      <c r="F46" s="445"/>
      <c r="G46" s="445"/>
      <c r="H46" s="445"/>
      <c r="I46" s="445"/>
      <c r="J46" s="445"/>
      <c r="K46" s="445"/>
      <c r="L46" s="445"/>
      <c r="M46" s="445"/>
      <c r="N46" s="445"/>
      <c r="O46" s="445"/>
      <c r="P46" s="445"/>
      <c r="Q46" s="445"/>
      <c r="R46" s="445"/>
      <c r="S46" s="445"/>
      <c r="T46" s="445"/>
      <c r="U46" s="445"/>
      <c r="V46" s="445"/>
      <c r="W46" s="445"/>
      <c r="X46" s="445"/>
      <c r="Y46" s="445"/>
      <c r="Z46" s="445"/>
      <c r="AA46" s="445"/>
      <c r="AB46" s="445"/>
      <c r="AC46" s="445"/>
      <c r="AD46" s="445"/>
      <c r="AE46" s="445"/>
      <c r="AF46" s="445"/>
      <c r="AG46" s="445"/>
      <c r="AH46" s="445"/>
      <c r="AI46" s="445"/>
      <c r="AJ46" s="445"/>
      <c r="AK46" s="445"/>
      <c r="AL46" s="445"/>
      <c r="AM46" s="445"/>
      <c r="AN46" s="445"/>
      <c r="AO46" s="445"/>
      <c r="AP46" s="445"/>
      <c r="AQ46" s="445"/>
      <c r="AR46" s="445"/>
      <c r="AS46" s="445"/>
      <c r="AT46" s="445"/>
      <c r="AU46" s="445"/>
      <c r="AV46" s="445"/>
      <c r="AW46" s="445"/>
      <c r="AX46" s="445"/>
      <c r="AY46" s="445"/>
      <c r="AZ46" s="445"/>
      <c r="BA46" s="445"/>
      <c r="BB46" s="445"/>
      <c r="BC46" s="445"/>
      <c r="BD46" s="445"/>
      <c r="BE46" s="445"/>
      <c r="BF46" s="445"/>
      <c r="BG46" s="445"/>
      <c r="BH46" s="445"/>
      <c r="BI46" s="445"/>
      <c r="BJ46" s="370"/>
      <c r="BK46" s="370"/>
      <c r="BL46" s="370"/>
      <c r="BM46" s="370"/>
      <c r="BN46" s="370"/>
      <c r="BO46" s="370"/>
      <c r="BP46" s="370"/>
      <c r="BQ46" s="370"/>
      <c r="BR46" s="371"/>
      <c r="BS46" s="120"/>
      <c r="BT46" s="120"/>
      <c r="BU46" s="34">
        <f t="shared" si="1"/>
        <v>0</v>
      </c>
    </row>
    <row r="47" spans="1:73" s="296" customFormat="1">
      <c r="A47" s="540"/>
      <c r="B47" s="630" t="str">
        <f>+Summary!A96</f>
        <v>SPECIAL PROJECTS</v>
      </c>
      <c r="C47" s="444"/>
      <c r="D47" s="445"/>
      <c r="E47" s="445"/>
      <c r="F47" s="445"/>
      <c r="G47" s="445"/>
      <c r="H47" s="445"/>
      <c r="I47" s="445"/>
      <c r="J47" s="445"/>
      <c r="K47" s="445"/>
      <c r="L47" s="445"/>
      <c r="M47" s="445"/>
      <c r="N47" s="445"/>
      <c r="O47" s="445"/>
      <c r="P47" s="445"/>
      <c r="Q47" s="445"/>
      <c r="R47" s="445"/>
      <c r="S47" s="445"/>
      <c r="T47" s="445"/>
      <c r="U47" s="445"/>
      <c r="V47" s="445"/>
      <c r="W47" s="445"/>
      <c r="X47" s="445"/>
      <c r="Y47" s="445"/>
      <c r="Z47" s="445"/>
      <c r="AA47" s="445"/>
      <c r="AB47" s="445"/>
      <c r="AC47" s="445"/>
      <c r="AD47" s="445"/>
      <c r="AE47" s="445"/>
      <c r="AF47" s="445"/>
      <c r="AG47" s="445"/>
      <c r="AH47" s="445"/>
      <c r="AI47" s="445"/>
      <c r="AJ47" s="445"/>
      <c r="AK47" s="445"/>
      <c r="AL47" s="445"/>
      <c r="AM47" s="445"/>
      <c r="AN47" s="445"/>
      <c r="AO47" s="445"/>
      <c r="AP47" s="445"/>
      <c r="AQ47" s="445"/>
      <c r="AR47" s="445"/>
      <c r="AS47" s="445"/>
      <c r="AT47" s="445"/>
      <c r="AU47" s="445"/>
      <c r="AV47" s="445"/>
      <c r="AW47" s="445"/>
      <c r="AX47" s="445"/>
      <c r="AY47" s="445"/>
      <c r="AZ47" s="445"/>
      <c r="BA47" s="445"/>
      <c r="BB47" s="445"/>
      <c r="BC47" s="445"/>
      <c r="BD47" s="445"/>
      <c r="BE47" s="445"/>
      <c r="BF47" s="445"/>
      <c r="BG47" s="445"/>
      <c r="BH47" s="445"/>
      <c r="BI47" s="445"/>
      <c r="BJ47" s="370"/>
      <c r="BK47" s="370"/>
      <c r="BL47" s="370"/>
      <c r="BM47" s="370"/>
      <c r="BN47" s="370"/>
      <c r="BO47" s="370"/>
      <c r="BP47" s="370"/>
      <c r="BQ47" s="370"/>
      <c r="BR47" s="371"/>
      <c r="BS47" s="120"/>
      <c r="BT47" s="120"/>
      <c r="BU47" s="34">
        <f t="shared" si="1"/>
        <v>0</v>
      </c>
    </row>
    <row r="48" spans="1:73" s="296" customFormat="1">
      <c r="A48" s="540"/>
      <c r="B48" s="630" t="str">
        <f>+Summary!A97</f>
        <v>Mattress/cushion replacement programme</v>
      </c>
      <c r="C48" s="444"/>
      <c r="D48" s="445"/>
      <c r="E48" s="445"/>
      <c r="F48" s="445"/>
      <c r="G48" s="445"/>
      <c r="H48" s="445"/>
      <c r="I48" s="445"/>
      <c r="J48" s="445"/>
      <c r="K48" s="445"/>
      <c r="L48" s="445"/>
      <c r="M48" s="445"/>
      <c r="N48" s="445"/>
      <c r="O48" s="445"/>
      <c r="P48" s="445"/>
      <c r="Q48" s="445"/>
      <c r="R48" s="445"/>
      <c r="S48" s="445"/>
      <c r="T48" s="445"/>
      <c r="U48" s="445"/>
      <c r="V48" s="445"/>
      <c r="W48" s="445"/>
      <c r="X48" s="445"/>
      <c r="Y48" s="445"/>
      <c r="Z48" s="445"/>
      <c r="AA48" s="445"/>
      <c r="AB48" s="445"/>
      <c r="AC48" s="445"/>
      <c r="AD48" s="445"/>
      <c r="AE48" s="445"/>
      <c r="AF48" s="445"/>
      <c r="AG48" s="445"/>
      <c r="AH48" s="445"/>
      <c r="AI48" s="445"/>
      <c r="AJ48" s="445"/>
      <c r="AK48" s="445"/>
      <c r="AL48" s="445"/>
      <c r="AM48" s="445"/>
      <c r="AN48" s="445"/>
      <c r="AO48" s="445"/>
      <c r="AP48" s="445"/>
      <c r="AQ48" s="445"/>
      <c r="AR48" s="445"/>
      <c r="AS48" s="445"/>
      <c r="AT48" s="445"/>
      <c r="AU48" s="445"/>
      <c r="AV48" s="445"/>
      <c r="AW48" s="445"/>
      <c r="AX48" s="445"/>
      <c r="AY48" s="445"/>
      <c r="AZ48" s="445"/>
      <c r="BA48" s="445"/>
      <c r="BB48" s="445"/>
      <c r="BC48" s="445"/>
      <c r="BD48" s="445"/>
      <c r="BE48" s="445"/>
      <c r="BF48" s="445"/>
      <c r="BG48" s="445"/>
      <c r="BH48" s="445"/>
      <c r="BI48" s="445"/>
      <c r="BJ48" s="370"/>
      <c r="BK48" s="370"/>
      <c r="BL48" s="370"/>
      <c r="BM48" s="370"/>
      <c r="BN48" s="370"/>
      <c r="BO48" s="370"/>
      <c r="BP48" s="370"/>
      <c r="BQ48" s="370"/>
      <c r="BR48" s="371"/>
      <c r="BS48" s="120"/>
      <c r="BT48" s="120"/>
      <c r="BU48" s="34">
        <f t="shared" si="1"/>
        <v>0</v>
      </c>
    </row>
    <row r="49" spans="1:73" s="296" customFormat="1">
      <c r="A49" s="540"/>
      <c r="B49" s="630">
        <f>+Summary!A98</f>
        <v>0</v>
      </c>
      <c r="C49" s="444"/>
      <c r="D49" s="445"/>
      <c r="E49" s="445"/>
      <c r="F49" s="445"/>
      <c r="G49" s="445"/>
      <c r="H49" s="445"/>
      <c r="I49" s="445"/>
      <c r="J49" s="445"/>
      <c r="K49" s="445"/>
      <c r="L49" s="445"/>
      <c r="M49" s="445"/>
      <c r="N49" s="445"/>
      <c r="O49" s="445"/>
      <c r="P49" s="445"/>
      <c r="Q49" s="445"/>
      <c r="R49" s="445"/>
      <c r="S49" s="445"/>
      <c r="T49" s="445"/>
      <c r="U49" s="445"/>
      <c r="V49" s="445"/>
      <c r="W49" s="445"/>
      <c r="X49" s="445"/>
      <c r="Y49" s="445"/>
      <c r="Z49" s="445"/>
      <c r="AA49" s="445"/>
      <c r="AB49" s="445"/>
      <c r="AC49" s="445"/>
      <c r="AD49" s="445"/>
      <c r="AE49" s="445"/>
      <c r="AF49" s="445"/>
      <c r="AG49" s="445"/>
      <c r="AH49" s="445"/>
      <c r="AI49" s="445"/>
      <c r="AJ49" s="445"/>
      <c r="AK49" s="445"/>
      <c r="AL49" s="445"/>
      <c r="AM49" s="445"/>
      <c r="AN49" s="445"/>
      <c r="AO49" s="445"/>
      <c r="AP49" s="445"/>
      <c r="AQ49" s="445"/>
      <c r="AR49" s="445"/>
      <c r="AS49" s="445"/>
      <c r="AT49" s="445"/>
      <c r="AU49" s="445"/>
      <c r="AV49" s="445"/>
      <c r="AW49" s="445"/>
      <c r="AX49" s="445"/>
      <c r="AY49" s="445"/>
      <c r="AZ49" s="445"/>
      <c r="BA49" s="445"/>
      <c r="BB49" s="445"/>
      <c r="BC49" s="445"/>
      <c r="BD49" s="445"/>
      <c r="BE49" s="445"/>
      <c r="BF49" s="445"/>
      <c r="BG49" s="445"/>
      <c r="BH49" s="445"/>
      <c r="BI49" s="445"/>
      <c r="BJ49" s="370"/>
      <c r="BK49" s="370"/>
      <c r="BL49" s="370"/>
      <c r="BM49" s="370"/>
      <c r="BN49" s="370"/>
      <c r="BO49" s="370"/>
      <c r="BP49" s="370"/>
      <c r="BQ49" s="370"/>
      <c r="BR49" s="371"/>
      <c r="BS49" s="120"/>
      <c r="BT49" s="120"/>
      <c r="BU49" s="34">
        <f t="shared" ref="BU49:BU62" si="2">SUM(C49:BQ49)</f>
        <v>0</v>
      </c>
    </row>
    <row r="50" spans="1:73" s="296" customFormat="1">
      <c r="A50" s="540"/>
      <c r="B50" s="654" t="str">
        <f>+Summary!A99</f>
        <v>TOTAL</v>
      </c>
      <c r="C50" s="444"/>
      <c r="D50" s="445"/>
      <c r="E50" s="445"/>
      <c r="F50" s="445"/>
      <c r="G50" s="445"/>
      <c r="H50" s="445"/>
      <c r="I50" s="445"/>
      <c r="J50" s="445"/>
      <c r="K50" s="445"/>
      <c r="L50" s="445"/>
      <c r="M50" s="445"/>
      <c r="N50" s="445"/>
      <c r="O50" s="445"/>
      <c r="P50" s="445"/>
      <c r="Q50" s="445"/>
      <c r="R50" s="445"/>
      <c r="S50" s="445"/>
      <c r="T50" s="445"/>
      <c r="U50" s="445"/>
      <c r="V50" s="445"/>
      <c r="W50" s="445"/>
      <c r="X50" s="445"/>
      <c r="Y50" s="445"/>
      <c r="Z50" s="445"/>
      <c r="AA50" s="445"/>
      <c r="AB50" s="445"/>
      <c r="AC50" s="445"/>
      <c r="AD50" s="445"/>
      <c r="AE50" s="445"/>
      <c r="AF50" s="445"/>
      <c r="AG50" s="445"/>
      <c r="AH50" s="445"/>
      <c r="AI50" s="445"/>
      <c r="AJ50" s="445"/>
      <c r="AK50" s="445"/>
      <c r="AL50" s="445"/>
      <c r="AM50" s="445"/>
      <c r="AN50" s="445"/>
      <c r="AO50" s="445"/>
      <c r="AP50" s="445"/>
      <c r="AQ50" s="445"/>
      <c r="AR50" s="445"/>
      <c r="AS50" s="445"/>
      <c r="AT50" s="445"/>
      <c r="AU50" s="445"/>
      <c r="AV50" s="445"/>
      <c r="AW50" s="445"/>
      <c r="AX50" s="445"/>
      <c r="AY50" s="445"/>
      <c r="AZ50" s="445"/>
      <c r="BA50" s="445"/>
      <c r="BB50" s="445"/>
      <c r="BC50" s="445"/>
      <c r="BD50" s="445"/>
      <c r="BE50" s="445"/>
      <c r="BF50" s="445"/>
      <c r="BG50" s="445"/>
      <c r="BH50" s="445"/>
      <c r="BI50" s="445"/>
      <c r="BJ50" s="370"/>
      <c r="BK50" s="370"/>
      <c r="BL50" s="370"/>
      <c r="BM50" s="370"/>
      <c r="BN50" s="370"/>
      <c r="BO50" s="370"/>
      <c r="BP50" s="370"/>
      <c r="BQ50" s="370"/>
      <c r="BR50" s="371"/>
      <c r="BS50" s="120"/>
      <c r="BT50" s="120"/>
      <c r="BU50" s="34">
        <f t="shared" si="2"/>
        <v>0</v>
      </c>
    </row>
    <row r="51" spans="1:73" s="296" customFormat="1">
      <c r="A51" s="540"/>
      <c r="B51" s="630">
        <f>+Summary!A100</f>
        <v>0</v>
      </c>
      <c r="C51" s="444"/>
      <c r="D51" s="445"/>
      <c r="E51" s="445"/>
      <c r="F51" s="445"/>
      <c r="G51" s="445"/>
      <c r="H51" s="445"/>
      <c r="I51" s="445"/>
      <c r="J51" s="445"/>
      <c r="K51" s="445"/>
      <c r="L51" s="445"/>
      <c r="M51" s="445"/>
      <c r="N51" s="445"/>
      <c r="O51" s="445"/>
      <c r="P51" s="445"/>
      <c r="Q51" s="445"/>
      <c r="R51" s="445"/>
      <c r="S51" s="445"/>
      <c r="T51" s="445"/>
      <c r="U51" s="445"/>
      <c r="V51" s="445"/>
      <c r="W51" s="445"/>
      <c r="X51" s="445"/>
      <c r="Y51" s="445"/>
      <c r="Z51" s="445"/>
      <c r="AA51" s="445"/>
      <c r="AB51" s="445"/>
      <c r="AC51" s="445"/>
      <c r="AD51" s="445"/>
      <c r="AE51" s="445"/>
      <c r="AF51" s="445"/>
      <c r="AG51" s="445"/>
      <c r="AH51" s="445"/>
      <c r="AI51" s="445"/>
      <c r="AJ51" s="445"/>
      <c r="AK51" s="445"/>
      <c r="AL51" s="445"/>
      <c r="AM51" s="445"/>
      <c r="AN51" s="445"/>
      <c r="AO51" s="445"/>
      <c r="AP51" s="445"/>
      <c r="AQ51" s="445"/>
      <c r="AR51" s="445"/>
      <c r="AS51" s="445"/>
      <c r="AT51" s="445"/>
      <c r="AU51" s="445"/>
      <c r="AV51" s="445"/>
      <c r="AW51" s="445"/>
      <c r="AX51" s="445"/>
      <c r="AY51" s="445"/>
      <c r="AZ51" s="445"/>
      <c r="BA51" s="445"/>
      <c r="BB51" s="445"/>
      <c r="BC51" s="445"/>
      <c r="BD51" s="445"/>
      <c r="BE51" s="445"/>
      <c r="BF51" s="445"/>
      <c r="BG51" s="445"/>
      <c r="BH51" s="445"/>
      <c r="BI51" s="445"/>
      <c r="BJ51" s="370"/>
      <c r="BK51" s="370"/>
      <c r="BL51" s="370"/>
      <c r="BM51" s="370"/>
      <c r="BN51" s="370"/>
      <c r="BO51" s="370"/>
      <c r="BP51" s="370"/>
      <c r="BQ51" s="370"/>
      <c r="BR51" s="371"/>
      <c r="BS51" s="120"/>
      <c r="BT51" s="120"/>
      <c r="BU51" s="34">
        <f t="shared" si="2"/>
        <v>0</v>
      </c>
    </row>
    <row r="52" spans="1:73" s="296" customFormat="1" hidden="1">
      <c r="A52" s="540">
        <v>65</v>
      </c>
      <c r="B52" s="630">
        <f>+Summary!A101</f>
        <v>0</v>
      </c>
      <c r="C52" s="444"/>
      <c r="D52" s="445"/>
      <c r="E52" s="445"/>
      <c r="F52" s="445"/>
      <c r="G52" s="445"/>
      <c r="H52" s="445"/>
      <c r="I52" s="445"/>
      <c r="J52" s="445"/>
      <c r="K52" s="445"/>
      <c r="L52" s="445"/>
      <c r="M52" s="445"/>
      <c r="N52" s="445"/>
      <c r="O52" s="445"/>
      <c r="P52" s="445"/>
      <c r="Q52" s="445"/>
      <c r="R52" s="445"/>
      <c r="S52" s="445"/>
      <c r="T52" s="445"/>
      <c r="U52" s="445"/>
      <c r="V52" s="445"/>
      <c r="W52" s="445"/>
      <c r="X52" s="445"/>
      <c r="Y52" s="445"/>
      <c r="Z52" s="445"/>
      <c r="AA52" s="445"/>
      <c r="AB52" s="445"/>
      <c r="AC52" s="445"/>
      <c r="AD52" s="445"/>
      <c r="AE52" s="445"/>
      <c r="AF52" s="445"/>
      <c r="AG52" s="445"/>
      <c r="AH52" s="445"/>
      <c r="AI52" s="445"/>
      <c r="AJ52" s="445"/>
      <c r="AK52" s="445"/>
      <c r="AL52" s="445"/>
      <c r="AM52" s="445"/>
      <c r="AN52" s="445"/>
      <c r="AO52" s="445"/>
      <c r="AP52" s="445"/>
      <c r="AQ52" s="445"/>
      <c r="AR52" s="445"/>
      <c r="AS52" s="445"/>
      <c r="AT52" s="445"/>
      <c r="AU52" s="445"/>
      <c r="AV52" s="445"/>
      <c r="AW52" s="445"/>
      <c r="AX52" s="445"/>
      <c r="AY52" s="445"/>
      <c r="AZ52" s="445"/>
      <c r="BA52" s="445"/>
      <c r="BB52" s="445"/>
      <c r="BC52" s="445"/>
      <c r="BD52" s="445"/>
      <c r="BE52" s="445"/>
      <c r="BF52" s="445"/>
      <c r="BG52" s="445"/>
      <c r="BH52" s="445"/>
      <c r="BI52" s="445"/>
      <c r="BJ52" s="370"/>
      <c r="BK52" s="370"/>
      <c r="BL52" s="370"/>
      <c r="BM52" s="370"/>
      <c r="BN52" s="370"/>
      <c r="BO52" s="370"/>
      <c r="BP52" s="370"/>
      <c r="BQ52" s="370"/>
      <c r="BR52" s="371"/>
      <c r="BS52" s="120"/>
      <c r="BT52" s="120"/>
      <c r="BU52" s="34">
        <f t="shared" si="2"/>
        <v>0</v>
      </c>
    </row>
    <row r="53" spans="1:73" s="296" customFormat="1" hidden="1">
      <c r="A53" s="540"/>
      <c r="B53" s="630">
        <f>+Summary!A102</f>
        <v>0</v>
      </c>
      <c r="C53" s="444"/>
      <c r="D53" s="445"/>
      <c r="E53" s="445"/>
      <c r="F53" s="445"/>
      <c r="G53" s="445"/>
      <c r="H53" s="445"/>
      <c r="I53" s="445"/>
      <c r="J53" s="445"/>
      <c r="K53" s="445"/>
      <c r="L53" s="445"/>
      <c r="M53" s="445"/>
      <c r="N53" s="445"/>
      <c r="O53" s="445"/>
      <c r="P53" s="445"/>
      <c r="Q53" s="445"/>
      <c r="R53" s="445"/>
      <c r="S53" s="445"/>
      <c r="T53" s="445"/>
      <c r="U53" s="445"/>
      <c r="V53" s="445"/>
      <c r="W53" s="445"/>
      <c r="X53" s="445"/>
      <c r="Y53" s="445"/>
      <c r="Z53" s="445"/>
      <c r="AA53" s="445"/>
      <c r="AB53" s="445"/>
      <c r="AC53" s="445"/>
      <c r="AD53" s="445"/>
      <c r="AE53" s="445"/>
      <c r="AF53" s="445"/>
      <c r="AG53" s="445"/>
      <c r="AH53" s="445"/>
      <c r="AI53" s="445"/>
      <c r="AJ53" s="445"/>
      <c r="AK53" s="445"/>
      <c r="AL53" s="445"/>
      <c r="AM53" s="445"/>
      <c r="AN53" s="445"/>
      <c r="AO53" s="445"/>
      <c r="AP53" s="445"/>
      <c r="AQ53" s="445"/>
      <c r="AR53" s="445"/>
      <c r="AS53" s="445"/>
      <c r="AT53" s="445"/>
      <c r="AU53" s="445"/>
      <c r="AV53" s="445"/>
      <c r="AW53" s="445"/>
      <c r="AX53" s="445"/>
      <c r="AY53" s="445"/>
      <c r="AZ53" s="445"/>
      <c r="BA53" s="445"/>
      <c r="BB53" s="445"/>
      <c r="BC53" s="445"/>
      <c r="BD53" s="445"/>
      <c r="BE53" s="445"/>
      <c r="BF53" s="445"/>
      <c r="BG53" s="445"/>
      <c r="BH53" s="445"/>
      <c r="BI53" s="445"/>
      <c r="BJ53" s="370"/>
      <c r="BK53" s="370"/>
      <c r="BL53" s="370"/>
      <c r="BM53" s="370"/>
      <c r="BN53" s="370"/>
      <c r="BO53" s="370"/>
      <c r="BP53" s="370"/>
      <c r="BQ53" s="370"/>
      <c r="BR53" s="371" t="s">
        <v>179</v>
      </c>
      <c r="BS53" s="120"/>
      <c r="BT53" s="120"/>
      <c r="BU53" s="34">
        <f t="shared" si="2"/>
        <v>0</v>
      </c>
    </row>
    <row r="54" spans="1:73" s="296" customFormat="1" hidden="1">
      <c r="A54" s="540">
        <v>41</v>
      </c>
      <c r="B54" s="630">
        <f>+Summary!A103</f>
        <v>0</v>
      </c>
      <c r="C54" s="444"/>
      <c r="D54" s="445"/>
      <c r="E54" s="445"/>
      <c r="F54" s="445"/>
      <c r="G54" s="445"/>
      <c r="H54" s="445"/>
      <c r="I54" s="445"/>
      <c r="J54" s="445"/>
      <c r="K54" s="445"/>
      <c r="L54" s="445"/>
      <c r="M54" s="445"/>
      <c r="N54" s="445"/>
      <c r="O54" s="445"/>
      <c r="P54" s="445"/>
      <c r="Q54" s="445"/>
      <c r="R54" s="445"/>
      <c r="S54" s="445"/>
      <c r="T54" s="445"/>
      <c r="U54" s="445"/>
      <c r="V54" s="445"/>
      <c r="W54" s="445"/>
      <c r="X54" s="445"/>
      <c r="Y54" s="445"/>
      <c r="Z54" s="445"/>
      <c r="AA54" s="445"/>
      <c r="AB54" s="445"/>
      <c r="AC54" s="445"/>
      <c r="AD54" s="445"/>
      <c r="AE54" s="445"/>
      <c r="AF54" s="445"/>
      <c r="AG54" s="445"/>
      <c r="AH54" s="445"/>
      <c r="AI54" s="445"/>
      <c r="AJ54" s="445"/>
      <c r="AK54" s="445"/>
      <c r="AL54" s="445"/>
      <c r="AM54" s="445"/>
      <c r="AN54" s="445"/>
      <c r="AO54" s="445"/>
      <c r="AP54" s="445"/>
      <c r="AQ54" s="445"/>
      <c r="AR54" s="445"/>
      <c r="AS54" s="445"/>
      <c r="AT54" s="445"/>
      <c r="AU54" s="445"/>
      <c r="AV54" s="445"/>
      <c r="AW54" s="445"/>
      <c r="AX54" s="445"/>
      <c r="AY54" s="445"/>
      <c r="AZ54" s="445"/>
      <c r="BA54" s="445"/>
      <c r="BB54" s="445"/>
      <c r="BC54" s="445"/>
      <c r="BD54" s="445"/>
      <c r="BE54" s="445"/>
      <c r="BF54" s="445"/>
      <c r="BG54" s="445"/>
      <c r="BH54" s="445"/>
      <c r="BI54" s="445"/>
      <c r="BJ54" s="370"/>
      <c r="BK54" s="370"/>
      <c r="BL54" s="370"/>
      <c r="BM54" s="370"/>
      <c r="BN54" s="370"/>
      <c r="BO54" s="370"/>
      <c r="BP54" s="370"/>
      <c r="BQ54" s="370"/>
      <c r="BR54" s="371"/>
      <c r="BS54" s="120"/>
      <c r="BT54" s="120"/>
      <c r="BU54" s="34">
        <f t="shared" si="2"/>
        <v>0</v>
      </c>
    </row>
    <row r="55" spans="1:73" s="296" customFormat="1" hidden="1">
      <c r="A55" s="540">
        <v>46</v>
      </c>
      <c r="B55" s="630">
        <f>+Summary!A104</f>
        <v>0</v>
      </c>
      <c r="C55" s="444"/>
      <c r="D55" s="445"/>
      <c r="E55" s="445"/>
      <c r="F55" s="445"/>
      <c r="G55" s="445"/>
      <c r="H55" s="445"/>
      <c r="I55" s="445"/>
      <c r="J55" s="445"/>
      <c r="K55" s="445"/>
      <c r="L55" s="445"/>
      <c r="M55" s="445"/>
      <c r="N55" s="445"/>
      <c r="O55" s="445"/>
      <c r="P55" s="445"/>
      <c r="Q55" s="445"/>
      <c r="R55" s="445"/>
      <c r="S55" s="445"/>
      <c r="T55" s="445"/>
      <c r="U55" s="445"/>
      <c r="V55" s="445"/>
      <c r="W55" s="445"/>
      <c r="X55" s="445"/>
      <c r="Y55" s="445"/>
      <c r="Z55" s="445"/>
      <c r="AA55" s="445"/>
      <c r="AB55" s="445"/>
      <c r="AC55" s="445"/>
      <c r="AD55" s="445"/>
      <c r="AE55" s="445"/>
      <c r="AF55" s="445"/>
      <c r="AG55" s="445"/>
      <c r="AH55" s="445"/>
      <c r="AI55" s="445"/>
      <c r="AJ55" s="445"/>
      <c r="AK55" s="445"/>
      <c r="AL55" s="445"/>
      <c r="AM55" s="445"/>
      <c r="AN55" s="445"/>
      <c r="AO55" s="445"/>
      <c r="AP55" s="445"/>
      <c r="AQ55" s="445"/>
      <c r="AR55" s="445"/>
      <c r="AS55" s="445"/>
      <c r="AT55" s="445"/>
      <c r="AU55" s="445"/>
      <c r="AV55" s="445"/>
      <c r="AW55" s="445"/>
      <c r="AX55" s="445"/>
      <c r="AY55" s="445"/>
      <c r="AZ55" s="445"/>
      <c r="BA55" s="445"/>
      <c r="BB55" s="445"/>
      <c r="BC55" s="445"/>
      <c r="BD55" s="445"/>
      <c r="BE55" s="445"/>
      <c r="BF55" s="445"/>
      <c r="BG55" s="445"/>
      <c r="BH55" s="445"/>
      <c r="BI55" s="445"/>
      <c r="BJ55" s="370"/>
      <c r="BK55" s="370"/>
      <c r="BL55" s="370"/>
      <c r="BM55" s="370"/>
      <c r="BN55" s="370"/>
      <c r="BO55" s="370"/>
      <c r="BP55" s="370"/>
      <c r="BQ55" s="370"/>
      <c r="BR55" s="371"/>
      <c r="BS55" s="120"/>
      <c r="BT55" s="120"/>
      <c r="BU55" s="34">
        <f t="shared" si="2"/>
        <v>0</v>
      </c>
    </row>
    <row r="56" spans="1:73" s="296" customFormat="1" hidden="1">
      <c r="A56" s="540"/>
      <c r="B56" s="630">
        <f>+Summary!A105</f>
        <v>0</v>
      </c>
      <c r="C56" s="444"/>
      <c r="D56" s="445"/>
      <c r="E56" s="445"/>
      <c r="F56" s="445"/>
      <c r="G56" s="445"/>
      <c r="H56" s="445"/>
      <c r="I56" s="445"/>
      <c r="J56" s="445"/>
      <c r="K56" s="445"/>
      <c r="L56" s="445"/>
      <c r="M56" s="445"/>
      <c r="N56" s="445"/>
      <c r="O56" s="445"/>
      <c r="P56" s="445"/>
      <c r="Q56" s="445"/>
      <c r="R56" s="445"/>
      <c r="S56" s="445"/>
      <c r="T56" s="445"/>
      <c r="U56" s="445"/>
      <c r="V56" s="445"/>
      <c r="W56" s="445"/>
      <c r="X56" s="445"/>
      <c r="Y56" s="445"/>
      <c r="Z56" s="445"/>
      <c r="AA56" s="445"/>
      <c r="AB56" s="445"/>
      <c r="AC56" s="445"/>
      <c r="AD56" s="445"/>
      <c r="AE56" s="445"/>
      <c r="AF56" s="445"/>
      <c r="AG56" s="445"/>
      <c r="AH56" s="445"/>
      <c r="AI56" s="445"/>
      <c r="AJ56" s="445"/>
      <c r="AK56" s="445"/>
      <c r="AL56" s="445"/>
      <c r="AM56" s="445"/>
      <c r="AN56" s="445"/>
      <c r="AO56" s="445"/>
      <c r="AP56" s="445"/>
      <c r="AQ56" s="445"/>
      <c r="AR56" s="445"/>
      <c r="AS56" s="445"/>
      <c r="AT56" s="445"/>
      <c r="AU56" s="445"/>
      <c r="AV56" s="445"/>
      <c r="AW56" s="445"/>
      <c r="AX56" s="445"/>
      <c r="AY56" s="445"/>
      <c r="AZ56" s="445"/>
      <c r="BA56" s="445"/>
      <c r="BB56" s="445"/>
      <c r="BC56" s="445"/>
      <c r="BD56" s="445"/>
      <c r="BE56" s="445"/>
      <c r="BF56" s="445"/>
      <c r="BG56" s="445"/>
      <c r="BH56" s="445"/>
      <c r="BI56" s="445"/>
      <c r="BJ56" s="370"/>
      <c r="BK56" s="370"/>
      <c r="BL56" s="370"/>
      <c r="BM56" s="370"/>
      <c r="BN56" s="370"/>
      <c r="BO56" s="370"/>
      <c r="BP56" s="370"/>
      <c r="BQ56" s="370"/>
      <c r="BR56" s="371"/>
      <c r="BS56" s="120"/>
      <c r="BT56" s="120"/>
      <c r="BU56" s="34">
        <f t="shared" si="2"/>
        <v>0</v>
      </c>
    </row>
    <row r="57" spans="1:73" s="296" customFormat="1" hidden="1">
      <c r="A57" s="540">
        <v>33</v>
      </c>
      <c r="B57" s="630">
        <f>+Summary!A106</f>
        <v>0</v>
      </c>
      <c r="C57" s="444"/>
      <c r="D57" s="445"/>
      <c r="E57" s="445"/>
      <c r="F57" s="445"/>
      <c r="G57" s="445"/>
      <c r="H57" s="445"/>
      <c r="I57" s="445"/>
      <c r="J57" s="445"/>
      <c r="K57" s="445"/>
      <c r="L57" s="445"/>
      <c r="M57" s="445"/>
      <c r="N57" s="445"/>
      <c r="O57" s="445"/>
      <c r="P57" s="445"/>
      <c r="Q57" s="445"/>
      <c r="R57" s="445"/>
      <c r="S57" s="445"/>
      <c r="T57" s="445"/>
      <c r="U57" s="445"/>
      <c r="V57" s="445"/>
      <c r="W57" s="445"/>
      <c r="X57" s="445"/>
      <c r="Y57" s="445"/>
      <c r="Z57" s="445"/>
      <c r="AA57" s="445"/>
      <c r="AB57" s="445"/>
      <c r="AC57" s="445"/>
      <c r="AD57" s="445"/>
      <c r="AE57" s="445"/>
      <c r="AF57" s="445"/>
      <c r="AG57" s="445"/>
      <c r="AH57" s="445"/>
      <c r="AI57" s="445"/>
      <c r="AJ57" s="445"/>
      <c r="AK57" s="445"/>
      <c r="AL57" s="445"/>
      <c r="AM57" s="445"/>
      <c r="AN57" s="445"/>
      <c r="AO57" s="445"/>
      <c r="AP57" s="445"/>
      <c r="AQ57" s="445"/>
      <c r="AR57" s="445"/>
      <c r="AS57" s="445"/>
      <c r="AT57" s="445"/>
      <c r="AU57" s="445"/>
      <c r="AV57" s="445"/>
      <c r="AW57" s="445"/>
      <c r="AX57" s="445"/>
      <c r="AY57" s="445"/>
      <c r="AZ57" s="445"/>
      <c r="BA57" s="445"/>
      <c r="BB57" s="445"/>
      <c r="BC57" s="445"/>
      <c r="BD57" s="445"/>
      <c r="BE57" s="445"/>
      <c r="BF57" s="445"/>
      <c r="BG57" s="445"/>
      <c r="BH57" s="445"/>
      <c r="BI57" s="445"/>
      <c r="BJ57" s="370"/>
      <c r="BK57" s="370"/>
      <c r="BL57" s="370"/>
      <c r="BM57" s="370"/>
      <c r="BN57" s="370"/>
      <c r="BO57" s="370"/>
      <c r="BP57" s="370"/>
      <c r="BQ57" s="370"/>
      <c r="BR57" s="371"/>
      <c r="BS57" s="120"/>
      <c r="BT57" s="120"/>
      <c r="BU57" s="34">
        <f t="shared" si="2"/>
        <v>0</v>
      </c>
    </row>
    <row r="58" spans="1:73" s="296" customFormat="1" hidden="1">
      <c r="A58" s="540">
        <v>40</v>
      </c>
      <c r="B58" s="630">
        <f>+Summary!A107</f>
        <v>0</v>
      </c>
      <c r="C58" s="444"/>
      <c r="D58" s="445"/>
      <c r="E58" s="445"/>
      <c r="F58" s="445"/>
      <c r="G58" s="445"/>
      <c r="H58" s="445"/>
      <c r="I58" s="445"/>
      <c r="J58" s="445"/>
      <c r="K58" s="445"/>
      <c r="L58" s="445"/>
      <c r="M58" s="445"/>
      <c r="N58" s="445"/>
      <c r="O58" s="445"/>
      <c r="P58" s="445"/>
      <c r="Q58" s="445"/>
      <c r="R58" s="445"/>
      <c r="S58" s="445"/>
      <c r="T58" s="445"/>
      <c r="U58" s="445"/>
      <c r="V58" s="445"/>
      <c r="W58" s="445"/>
      <c r="X58" s="445"/>
      <c r="Y58" s="445"/>
      <c r="Z58" s="445"/>
      <c r="AA58" s="445"/>
      <c r="AB58" s="445"/>
      <c r="AC58" s="445"/>
      <c r="AD58" s="445"/>
      <c r="AE58" s="445"/>
      <c r="AF58" s="445"/>
      <c r="AG58" s="445"/>
      <c r="AH58" s="445"/>
      <c r="AI58" s="445"/>
      <c r="AJ58" s="445"/>
      <c r="AK58" s="445"/>
      <c r="AL58" s="445"/>
      <c r="AM58" s="445"/>
      <c r="AN58" s="445"/>
      <c r="AO58" s="445"/>
      <c r="AP58" s="445"/>
      <c r="AQ58" s="445"/>
      <c r="AR58" s="445"/>
      <c r="AS58" s="445"/>
      <c r="AT58" s="445"/>
      <c r="AU58" s="445"/>
      <c r="AV58" s="445"/>
      <c r="AW58" s="445"/>
      <c r="AX58" s="445"/>
      <c r="AY58" s="445"/>
      <c r="AZ58" s="445"/>
      <c r="BA58" s="445"/>
      <c r="BB58" s="445"/>
      <c r="BC58" s="445"/>
      <c r="BD58" s="445"/>
      <c r="BE58" s="445"/>
      <c r="BF58" s="445"/>
      <c r="BG58" s="445"/>
      <c r="BH58" s="445"/>
      <c r="BI58" s="445"/>
      <c r="BJ58" s="370"/>
      <c r="BK58" s="370"/>
      <c r="BL58" s="370"/>
      <c r="BM58" s="370"/>
      <c r="BN58" s="370"/>
      <c r="BO58" s="370"/>
      <c r="BP58" s="370"/>
      <c r="BQ58" s="370"/>
      <c r="BR58" s="371"/>
      <c r="BS58" s="120"/>
      <c r="BT58" s="120"/>
      <c r="BU58" s="34">
        <f t="shared" si="2"/>
        <v>0</v>
      </c>
    </row>
    <row r="59" spans="1:73" s="296" customFormat="1" hidden="1">
      <c r="A59" s="540">
        <v>42</v>
      </c>
      <c r="B59" s="630">
        <f>+Summary!A108</f>
        <v>0</v>
      </c>
      <c r="C59" s="444"/>
      <c r="D59" s="445"/>
      <c r="E59" s="445"/>
      <c r="F59" s="445"/>
      <c r="G59" s="445"/>
      <c r="H59" s="445"/>
      <c r="I59" s="445"/>
      <c r="J59" s="445"/>
      <c r="K59" s="445"/>
      <c r="L59" s="445"/>
      <c r="M59" s="445"/>
      <c r="N59" s="445"/>
      <c r="O59" s="445"/>
      <c r="P59" s="445"/>
      <c r="Q59" s="445"/>
      <c r="R59" s="445"/>
      <c r="S59" s="445"/>
      <c r="T59" s="445"/>
      <c r="U59" s="445"/>
      <c r="V59" s="445"/>
      <c r="W59" s="445"/>
      <c r="X59" s="445"/>
      <c r="Y59" s="445"/>
      <c r="Z59" s="445"/>
      <c r="AA59" s="445"/>
      <c r="AB59" s="445"/>
      <c r="AC59" s="445"/>
      <c r="AD59" s="445"/>
      <c r="AE59" s="445"/>
      <c r="AF59" s="445"/>
      <c r="AG59" s="445"/>
      <c r="AH59" s="445"/>
      <c r="AI59" s="445"/>
      <c r="AJ59" s="445"/>
      <c r="AK59" s="445"/>
      <c r="AL59" s="445"/>
      <c r="AM59" s="445"/>
      <c r="AN59" s="445"/>
      <c r="AO59" s="445"/>
      <c r="AP59" s="445"/>
      <c r="AQ59" s="445"/>
      <c r="AR59" s="445"/>
      <c r="AS59" s="445"/>
      <c r="AT59" s="445"/>
      <c r="AU59" s="445"/>
      <c r="AV59" s="445"/>
      <c r="AW59" s="445"/>
      <c r="AX59" s="445"/>
      <c r="AY59" s="445"/>
      <c r="AZ59" s="445"/>
      <c r="BA59" s="445"/>
      <c r="BB59" s="445"/>
      <c r="BC59" s="445"/>
      <c r="BD59" s="445"/>
      <c r="BE59" s="445"/>
      <c r="BF59" s="445"/>
      <c r="BG59" s="445"/>
      <c r="BH59" s="445"/>
      <c r="BI59" s="445"/>
      <c r="BJ59" s="370"/>
      <c r="BK59" s="370"/>
      <c r="BL59" s="370"/>
      <c r="BM59" s="370"/>
      <c r="BN59" s="370"/>
      <c r="BO59" s="370"/>
      <c r="BP59" s="370"/>
      <c r="BQ59" s="370"/>
      <c r="BR59" s="371"/>
      <c r="BS59" s="120"/>
      <c r="BT59" s="120"/>
      <c r="BU59" s="34">
        <f t="shared" si="2"/>
        <v>0</v>
      </c>
    </row>
    <row r="60" spans="1:73" s="296" customFormat="1" hidden="1">
      <c r="A60" s="540">
        <v>59</v>
      </c>
      <c r="B60" s="630">
        <f>+Summary!A109</f>
        <v>0</v>
      </c>
      <c r="C60" s="444"/>
      <c r="D60" s="445"/>
      <c r="E60" s="445"/>
      <c r="F60" s="445"/>
      <c r="G60" s="445"/>
      <c r="H60" s="445"/>
      <c r="I60" s="445"/>
      <c r="J60" s="445"/>
      <c r="K60" s="445"/>
      <c r="L60" s="445"/>
      <c r="M60" s="445"/>
      <c r="N60" s="445"/>
      <c r="O60" s="445"/>
      <c r="P60" s="445"/>
      <c r="Q60" s="445"/>
      <c r="R60" s="445"/>
      <c r="S60" s="445"/>
      <c r="T60" s="445"/>
      <c r="U60" s="445"/>
      <c r="V60" s="445"/>
      <c r="W60" s="445"/>
      <c r="X60" s="445"/>
      <c r="Y60" s="445"/>
      <c r="Z60" s="445"/>
      <c r="AA60" s="445"/>
      <c r="AB60" s="445"/>
      <c r="AC60" s="445"/>
      <c r="AD60" s="445"/>
      <c r="AE60" s="445"/>
      <c r="AF60" s="445"/>
      <c r="AG60" s="445"/>
      <c r="AH60" s="445"/>
      <c r="AI60" s="445"/>
      <c r="AJ60" s="445"/>
      <c r="AK60" s="445"/>
      <c r="AL60" s="445"/>
      <c r="AM60" s="445"/>
      <c r="AN60" s="445"/>
      <c r="AO60" s="445"/>
      <c r="AP60" s="445"/>
      <c r="AQ60" s="445"/>
      <c r="AR60" s="445"/>
      <c r="AS60" s="445"/>
      <c r="AT60" s="445"/>
      <c r="AU60" s="445"/>
      <c r="AV60" s="445"/>
      <c r="AW60" s="445"/>
      <c r="AX60" s="445"/>
      <c r="AY60" s="445"/>
      <c r="AZ60" s="445"/>
      <c r="BA60" s="445"/>
      <c r="BB60" s="445"/>
      <c r="BC60" s="445"/>
      <c r="BD60" s="445"/>
      <c r="BE60" s="445"/>
      <c r="BF60" s="445"/>
      <c r="BG60" s="445"/>
      <c r="BH60" s="445"/>
      <c r="BI60" s="445"/>
      <c r="BJ60" s="370"/>
      <c r="BK60" s="370"/>
      <c r="BL60" s="370"/>
      <c r="BM60" s="370"/>
      <c r="BN60" s="370"/>
      <c r="BO60" s="370"/>
      <c r="BP60" s="370"/>
      <c r="BQ60" s="370"/>
      <c r="BR60" s="371"/>
      <c r="BS60" s="120"/>
      <c r="BT60" s="120"/>
      <c r="BU60" s="34">
        <f t="shared" si="2"/>
        <v>0</v>
      </c>
    </row>
    <row r="61" spans="1:73" s="296" customFormat="1" ht="7.5" hidden="1" thickBot="1">
      <c r="A61" s="538">
        <v>61</v>
      </c>
      <c r="B61" s="632">
        <f>+Summary!A110</f>
        <v>0</v>
      </c>
      <c r="C61" s="628"/>
      <c r="D61" s="477"/>
      <c r="E61" s="478"/>
      <c r="F61" s="478"/>
      <c r="G61" s="478"/>
      <c r="H61" s="478"/>
      <c r="I61" s="478"/>
      <c r="J61" s="478"/>
      <c r="K61" s="478"/>
      <c r="L61" s="478"/>
      <c r="M61" s="478"/>
      <c r="N61" s="478"/>
      <c r="O61" s="478"/>
      <c r="P61" s="478"/>
      <c r="Q61" s="478"/>
      <c r="R61" s="478"/>
      <c r="S61" s="477"/>
      <c r="T61" s="478"/>
      <c r="U61" s="478"/>
      <c r="V61" s="478"/>
      <c r="W61" s="478"/>
      <c r="X61" s="478"/>
      <c r="Y61" s="478"/>
      <c r="Z61" s="478"/>
      <c r="AA61" s="478"/>
      <c r="AB61" s="478"/>
      <c r="AC61" s="478"/>
      <c r="AD61" s="478"/>
      <c r="AE61" s="478"/>
      <c r="AF61" s="478"/>
      <c r="AG61" s="478"/>
      <c r="AH61" s="478"/>
      <c r="AI61" s="478"/>
      <c r="AJ61" s="478"/>
      <c r="AK61" s="478"/>
      <c r="AL61" s="478"/>
      <c r="AM61" s="478"/>
      <c r="AN61" s="478"/>
      <c r="AO61" s="478"/>
      <c r="AP61" s="478"/>
      <c r="AQ61" s="478"/>
      <c r="AR61" s="478"/>
      <c r="AS61" s="478"/>
      <c r="AT61" s="478"/>
      <c r="AU61" s="478"/>
      <c r="AV61" s="478"/>
      <c r="AW61" s="478"/>
      <c r="AX61" s="478"/>
      <c r="AY61" s="478"/>
      <c r="AZ61" s="478"/>
      <c r="BA61" s="478"/>
      <c r="BB61" s="478"/>
      <c r="BC61" s="478"/>
      <c r="BD61" s="478"/>
      <c r="BE61" s="478"/>
      <c r="BF61" s="478"/>
      <c r="BG61" s="478"/>
      <c r="BH61" s="478"/>
      <c r="BI61" s="478"/>
      <c r="BJ61" s="25"/>
      <c r="BK61" s="25"/>
      <c r="BL61" s="25"/>
      <c r="BM61" s="25"/>
      <c r="BN61" s="25"/>
      <c r="BO61" s="25"/>
      <c r="BP61" s="25"/>
      <c r="BQ61" s="25"/>
      <c r="BR61" s="479"/>
      <c r="BS61" s="120"/>
      <c r="BT61" s="120"/>
      <c r="BU61" s="34">
        <f t="shared" si="2"/>
        <v>0</v>
      </c>
    </row>
    <row r="62" spans="1:73" s="296" customFormat="1" ht="11" thickBot="1">
      <c r="A62" s="481"/>
      <c r="B62" s="633" t="s">
        <v>79</v>
      </c>
      <c r="C62" s="629">
        <f t="shared" ref="C62:AH62" si="3">SUM(C5:C61)</f>
        <v>0</v>
      </c>
      <c r="D62" s="474">
        <f t="shared" si="3"/>
        <v>0</v>
      </c>
      <c r="E62" s="475">
        <f t="shared" si="3"/>
        <v>0</v>
      </c>
      <c r="F62" s="475">
        <f t="shared" si="3"/>
        <v>0</v>
      </c>
      <c r="G62" s="475">
        <f t="shared" si="3"/>
        <v>40.479999999999997</v>
      </c>
      <c r="H62" s="475">
        <f t="shared" si="3"/>
        <v>79.02000000000001</v>
      </c>
      <c r="I62" s="475">
        <f t="shared" si="3"/>
        <v>40.119999999999997</v>
      </c>
      <c r="J62" s="475">
        <f t="shared" si="3"/>
        <v>100.75</v>
      </c>
      <c r="K62" s="475">
        <f t="shared" si="3"/>
        <v>0</v>
      </c>
      <c r="L62" s="475">
        <f t="shared" si="3"/>
        <v>25.22</v>
      </c>
      <c r="M62" s="475">
        <f t="shared" si="3"/>
        <v>0</v>
      </c>
      <c r="N62" s="475">
        <f t="shared" si="3"/>
        <v>0</v>
      </c>
      <c r="O62" s="475">
        <f t="shared" si="3"/>
        <v>0</v>
      </c>
      <c r="P62" s="475">
        <f t="shared" si="3"/>
        <v>0</v>
      </c>
      <c r="Q62" s="475">
        <f t="shared" si="3"/>
        <v>0</v>
      </c>
      <c r="R62" s="475">
        <f t="shared" si="3"/>
        <v>0</v>
      </c>
      <c r="S62" s="474">
        <f t="shared" si="3"/>
        <v>0</v>
      </c>
      <c r="T62" s="475">
        <f t="shared" si="3"/>
        <v>0</v>
      </c>
      <c r="U62" s="475">
        <f t="shared" si="3"/>
        <v>0</v>
      </c>
      <c r="V62" s="475">
        <f t="shared" si="3"/>
        <v>132.42000000000002</v>
      </c>
      <c r="W62" s="475">
        <f t="shared" si="3"/>
        <v>0</v>
      </c>
      <c r="X62" s="475">
        <f t="shared" si="3"/>
        <v>0</v>
      </c>
      <c r="Y62" s="475">
        <f t="shared" si="3"/>
        <v>0</v>
      </c>
      <c r="Z62" s="475">
        <f t="shared" si="3"/>
        <v>0</v>
      </c>
      <c r="AA62" s="475">
        <f t="shared" si="3"/>
        <v>0</v>
      </c>
      <c r="AB62" s="475">
        <f t="shared" si="3"/>
        <v>0</v>
      </c>
      <c r="AC62" s="475">
        <f t="shared" si="3"/>
        <v>0</v>
      </c>
      <c r="AD62" s="475">
        <f t="shared" si="3"/>
        <v>113.73</v>
      </c>
      <c r="AE62" s="475">
        <f t="shared" si="3"/>
        <v>0</v>
      </c>
      <c r="AF62" s="475">
        <f t="shared" si="3"/>
        <v>0</v>
      </c>
      <c r="AG62" s="475">
        <f t="shared" si="3"/>
        <v>0</v>
      </c>
      <c r="AH62" s="475">
        <f t="shared" si="3"/>
        <v>0</v>
      </c>
      <c r="AI62" s="475">
        <f t="shared" ref="AI62:BN62" si="4">SUM(AI5:AI61)</f>
        <v>0</v>
      </c>
      <c r="AJ62" s="475">
        <f t="shared" si="4"/>
        <v>0</v>
      </c>
      <c r="AK62" s="475">
        <f t="shared" si="4"/>
        <v>0</v>
      </c>
      <c r="AL62" s="475">
        <f t="shared" si="4"/>
        <v>0</v>
      </c>
      <c r="AM62" s="475">
        <f t="shared" si="4"/>
        <v>0</v>
      </c>
      <c r="AN62" s="475">
        <f t="shared" si="4"/>
        <v>0</v>
      </c>
      <c r="AO62" s="475">
        <f t="shared" si="4"/>
        <v>0</v>
      </c>
      <c r="AP62" s="475">
        <f t="shared" si="4"/>
        <v>0</v>
      </c>
      <c r="AQ62" s="475">
        <f t="shared" si="4"/>
        <v>0</v>
      </c>
      <c r="AR62" s="475">
        <f t="shared" si="4"/>
        <v>0</v>
      </c>
      <c r="AS62" s="475">
        <f t="shared" si="4"/>
        <v>0</v>
      </c>
      <c r="AT62" s="475">
        <f t="shared" si="4"/>
        <v>0</v>
      </c>
      <c r="AU62" s="475">
        <f t="shared" si="4"/>
        <v>20</v>
      </c>
      <c r="AV62" s="475">
        <f t="shared" si="4"/>
        <v>0</v>
      </c>
      <c r="AW62" s="475">
        <f t="shared" si="4"/>
        <v>0</v>
      </c>
      <c r="AX62" s="475">
        <f t="shared" si="4"/>
        <v>0</v>
      </c>
      <c r="AY62" s="475">
        <f t="shared" si="4"/>
        <v>0</v>
      </c>
      <c r="AZ62" s="475">
        <f t="shared" si="4"/>
        <v>0</v>
      </c>
      <c r="BA62" s="475">
        <f t="shared" si="4"/>
        <v>0</v>
      </c>
      <c r="BB62" s="475">
        <f t="shared" si="4"/>
        <v>0</v>
      </c>
      <c r="BC62" s="475">
        <f t="shared" si="4"/>
        <v>0</v>
      </c>
      <c r="BD62" s="475">
        <f t="shared" si="4"/>
        <v>0</v>
      </c>
      <c r="BE62" s="475">
        <f t="shared" si="4"/>
        <v>0</v>
      </c>
      <c r="BF62" s="475">
        <f t="shared" si="4"/>
        <v>0</v>
      </c>
      <c r="BG62" s="475">
        <f t="shared" si="4"/>
        <v>0</v>
      </c>
      <c r="BH62" s="475">
        <f t="shared" si="4"/>
        <v>0</v>
      </c>
      <c r="BI62" s="475">
        <f t="shared" si="4"/>
        <v>0</v>
      </c>
      <c r="BJ62" s="475">
        <f t="shared" si="4"/>
        <v>0</v>
      </c>
      <c r="BK62" s="475">
        <f t="shared" si="4"/>
        <v>0</v>
      </c>
      <c r="BL62" s="475">
        <f t="shared" si="4"/>
        <v>0</v>
      </c>
      <c r="BM62" s="475">
        <f t="shared" si="4"/>
        <v>0</v>
      </c>
      <c r="BN62" s="475">
        <f t="shared" si="4"/>
        <v>0</v>
      </c>
      <c r="BO62" s="475">
        <f>SUM(BO5:BO61)</f>
        <v>0</v>
      </c>
      <c r="BP62" s="475">
        <f>SUM(BP5:BP61)</f>
        <v>0</v>
      </c>
      <c r="BQ62" s="475">
        <f>SUM(BQ5:BQ61)</f>
        <v>0</v>
      </c>
      <c r="BR62" s="476"/>
      <c r="BS62" s="120"/>
      <c r="BT62" s="120"/>
      <c r="BU62" s="34">
        <f t="shared" si="2"/>
        <v>551.74</v>
      </c>
    </row>
    <row r="63" spans="1:73" s="296" customFormat="1" ht="7.5" thickTop="1">
      <c r="A63" s="481"/>
      <c r="B63" s="297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120"/>
      <c r="BS63" s="120"/>
      <c r="BT63" s="120"/>
      <c r="BU63" s="31"/>
    </row>
    <row r="64" spans="1:73" s="296" customFormat="1">
      <c r="A64" s="481"/>
      <c r="B64" s="298"/>
      <c r="BR64" s="299"/>
      <c r="BS64" s="299"/>
      <c r="BT64" s="299"/>
    </row>
    <row r="65" spans="1:73" s="296" customFormat="1">
      <c r="A65" s="481"/>
      <c r="B65" s="298"/>
      <c r="C65" s="239" t="str">
        <f t="shared" ref="C65:AG65" si="5">IF(SUM(C5:C62)=0,"HIDE","")</f>
        <v>HIDE</v>
      </c>
      <c r="D65" s="239" t="str">
        <f t="shared" si="5"/>
        <v>HIDE</v>
      </c>
      <c r="E65" s="239" t="str">
        <f t="shared" si="5"/>
        <v>HIDE</v>
      </c>
      <c r="F65" s="239" t="str">
        <f t="shared" si="5"/>
        <v>HIDE</v>
      </c>
      <c r="G65" s="239" t="str">
        <f t="shared" si="5"/>
        <v/>
      </c>
      <c r="H65" s="239" t="str">
        <f t="shared" si="5"/>
        <v/>
      </c>
      <c r="I65" s="239" t="str">
        <f t="shared" si="5"/>
        <v/>
      </c>
      <c r="J65" s="239" t="str">
        <f t="shared" si="5"/>
        <v/>
      </c>
      <c r="K65" s="239" t="str">
        <f t="shared" si="5"/>
        <v>HIDE</v>
      </c>
      <c r="L65" s="239" t="str">
        <f t="shared" si="5"/>
        <v/>
      </c>
      <c r="M65" s="239" t="str">
        <f t="shared" si="5"/>
        <v>HIDE</v>
      </c>
      <c r="N65" s="239" t="str">
        <f t="shared" si="5"/>
        <v>HIDE</v>
      </c>
      <c r="O65" s="239" t="str">
        <f t="shared" si="5"/>
        <v>HIDE</v>
      </c>
      <c r="P65" s="239" t="str">
        <f t="shared" si="5"/>
        <v>HIDE</v>
      </c>
      <c r="Q65" s="239" t="str">
        <f t="shared" si="5"/>
        <v>HIDE</v>
      </c>
      <c r="R65" s="239" t="str">
        <f t="shared" si="5"/>
        <v>HIDE</v>
      </c>
      <c r="S65" s="239" t="str">
        <f t="shared" si="5"/>
        <v>HIDE</v>
      </c>
      <c r="T65" s="239" t="str">
        <f t="shared" si="5"/>
        <v>HIDE</v>
      </c>
      <c r="U65" s="239" t="str">
        <f t="shared" si="5"/>
        <v>HIDE</v>
      </c>
      <c r="V65" s="239" t="str">
        <f t="shared" si="5"/>
        <v/>
      </c>
      <c r="W65" s="239" t="str">
        <f t="shared" si="5"/>
        <v>HIDE</v>
      </c>
      <c r="X65" s="239" t="str">
        <f t="shared" si="5"/>
        <v>HIDE</v>
      </c>
      <c r="Y65" s="239" t="str">
        <f t="shared" si="5"/>
        <v>HIDE</v>
      </c>
      <c r="Z65" s="239" t="str">
        <f t="shared" si="5"/>
        <v>HIDE</v>
      </c>
      <c r="AA65" s="239" t="str">
        <f t="shared" si="5"/>
        <v>HIDE</v>
      </c>
      <c r="AB65" s="239" t="str">
        <f t="shared" si="5"/>
        <v>HIDE</v>
      </c>
      <c r="AC65" s="239" t="str">
        <f t="shared" si="5"/>
        <v>HIDE</v>
      </c>
      <c r="AD65" s="239" t="str">
        <f t="shared" si="5"/>
        <v/>
      </c>
      <c r="AE65" s="239" t="str">
        <f t="shared" si="5"/>
        <v>HIDE</v>
      </c>
      <c r="AF65" s="239" t="str">
        <f t="shared" si="5"/>
        <v>HIDE</v>
      </c>
      <c r="AG65" s="239" t="str">
        <f t="shared" si="5"/>
        <v>HIDE</v>
      </c>
      <c r="AH65" s="239" t="str">
        <f t="shared" ref="AH65:BQ65" si="6">IF(SUM(AH5:AH62)=0,"HIDE","")</f>
        <v>HIDE</v>
      </c>
      <c r="AI65" s="239" t="str">
        <f t="shared" si="6"/>
        <v>HIDE</v>
      </c>
      <c r="AJ65" s="239" t="str">
        <f t="shared" si="6"/>
        <v>HIDE</v>
      </c>
      <c r="AK65" s="239" t="str">
        <f t="shared" si="6"/>
        <v>HIDE</v>
      </c>
      <c r="AL65" s="239" t="str">
        <f t="shared" si="6"/>
        <v>HIDE</v>
      </c>
      <c r="AM65" s="239" t="str">
        <f t="shared" si="6"/>
        <v>HIDE</v>
      </c>
      <c r="AN65" s="239" t="str">
        <f t="shared" si="6"/>
        <v>HIDE</v>
      </c>
      <c r="AO65" s="239" t="str">
        <f t="shared" si="6"/>
        <v>HIDE</v>
      </c>
      <c r="AP65" s="239" t="str">
        <f t="shared" si="6"/>
        <v>HIDE</v>
      </c>
      <c r="AQ65" s="239" t="str">
        <f t="shared" si="6"/>
        <v>HIDE</v>
      </c>
      <c r="AR65" s="239" t="str">
        <f t="shared" si="6"/>
        <v>HIDE</v>
      </c>
      <c r="AS65" s="239" t="str">
        <f t="shared" si="6"/>
        <v>HIDE</v>
      </c>
      <c r="AT65" s="239" t="str">
        <f t="shared" si="6"/>
        <v>HIDE</v>
      </c>
      <c r="AU65" s="239" t="str">
        <f t="shared" si="6"/>
        <v/>
      </c>
      <c r="AV65" s="239" t="str">
        <f t="shared" si="6"/>
        <v>HIDE</v>
      </c>
      <c r="AW65" s="239" t="str">
        <f t="shared" si="6"/>
        <v>HIDE</v>
      </c>
      <c r="AX65" s="239" t="str">
        <f t="shared" si="6"/>
        <v>HIDE</v>
      </c>
      <c r="AY65" s="239" t="str">
        <f t="shared" si="6"/>
        <v>HIDE</v>
      </c>
      <c r="AZ65" s="239" t="str">
        <f t="shared" si="6"/>
        <v>HIDE</v>
      </c>
      <c r="BA65" s="239" t="str">
        <f t="shared" si="6"/>
        <v>HIDE</v>
      </c>
      <c r="BB65" s="239" t="str">
        <f t="shared" si="6"/>
        <v>HIDE</v>
      </c>
      <c r="BC65" s="239" t="str">
        <f t="shared" si="6"/>
        <v>HIDE</v>
      </c>
      <c r="BD65" s="239" t="str">
        <f t="shared" si="6"/>
        <v>HIDE</v>
      </c>
      <c r="BE65" s="239" t="str">
        <f>IF(SUM(BE5:BE62)=0,"HIDE","")</f>
        <v>HIDE</v>
      </c>
      <c r="BF65" s="239" t="str">
        <f>IF(SUM(BF5:BF62)=0,"HIDE","")</f>
        <v>HIDE</v>
      </c>
      <c r="BG65" s="239" t="str">
        <f t="shared" si="6"/>
        <v>HIDE</v>
      </c>
      <c r="BH65" s="239" t="str">
        <f t="shared" si="6"/>
        <v>HIDE</v>
      </c>
      <c r="BI65" s="239" t="str">
        <f t="shared" si="6"/>
        <v>HIDE</v>
      </c>
      <c r="BJ65" s="239" t="str">
        <f t="shared" si="6"/>
        <v>HIDE</v>
      </c>
      <c r="BK65" s="239" t="str">
        <f t="shared" si="6"/>
        <v>HIDE</v>
      </c>
      <c r="BL65" s="239" t="str">
        <f t="shared" si="6"/>
        <v>HIDE</v>
      </c>
      <c r="BM65" s="239" t="str">
        <f t="shared" si="6"/>
        <v>HIDE</v>
      </c>
      <c r="BN65" s="239" t="str">
        <f t="shared" si="6"/>
        <v>HIDE</v>
      </c>
      <c r="BO65" s="239" t="str">
        <f t="shared" si="6"/>
        <v>HIDE</v>
      </c>
      <c r="BP65" s="239" t="str">
        <f t="shared" si="6"/>
        <v>HIDE</v>
      </c>
      <c r="BQ65" s="239" t="str">
        <f t="shared" si="6"/>
        <v>HIDE</v>
      </c>
      <c r="BR65" s="300"/>
      <c r="BS65" s="300"/>
      <c r="BT65" s="299"/>
      <c r="BU65" s="296">
        <f>SUM(BU5:BU61)</f>
        <v>551.74</v>
      </c>
    </row>
    <row r="66" spans="1:73" s="296" customFormat="1">
      <c r="A66" s="481"/>
      <c r="B66" s="301" t="s">
        <v>104</v>
      </c>
      <c r="C66" s="239"/>
      <c r="BR66" s="299"/>
      <c r="BS66" s="299"/>
      <c r="BT66" s="299"/>
    </row>
    <row r="67" spans="1:73" s="296" customFormat="1">
      <c r="A67" s="481"/>
      <c r="B67" s="298"/>
      <c r="BR67" s="299"/>
      <c r="BS67" s="299"/>
      <c r="BT67" s="299"/>
    </row>
    <row r="73" spans="1:73" s="126" customFormat="1">
      <c r="A73" s="537"/>
    </row>
    <row r="77" spans="1:73">
      <c r="A77" s="543"/>
    </row>
    <row r="95" spans="1:73">
      <c r="A95" s="543"/>
      <c r="B95" s="12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70"/>
      <c r="BS95" s="70"/>
      <c r="BT95" s="70"/>
      <c r="BU95" s="1"/>
    </row>
    <row r="96" spans="1:73">
      <c r="A96" s="543"/>
      <c r="B96" s="12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70"/>
      <c r="BS96" s="70"/>
      <c r="BT96" s="70"/>
      <c r="BU96" s="1"/>
    </row>
    <row r="97" spans="1:73">
      <c r="A97" s="543"/>
      <c r="B97" s="12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70"/>
      <c r="BS97" s="70"/>
      <c r="BT97" s="70"/>
      <c r="BU97" s="1"/>
    </row>
  </sheetData>
  <phoneticPr fontId="9" type="noConversion"/>
  <pageMargins left="0.35433070866141736" right="0.35433070866141736" top="0.19685039370078741" bottom="0.27559055118110237" header="0" footer="0.27559055118110237"/>
  <pageSetup paperSize="9" orientation="landscape" verticalDpi="4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Z179"/>
  <sheetViews>
    <sheetView showZeros="0" workbookViewId="0">
      <selection activeCell="Z41" sqref="Z41"/>
    </sheetView>
  </sheetViews>
  <sheetFormatPr defaultColWidth="16" defaultRowHeight="7"/>
  <cols>
    <col min="1" max="1" width="53" style="1" customWidth="1"/>
    <col min="2" max="9" width="11" style="1" customWidth="1"/>
    <col min="10" max="18" width="11" style="1" hidden="1" customWidth="1"/>
    <col min="19" max="20" width="2" style="1" customWidth="1"/>
    <col min="21" max="21" width="23" style="1" customWidth="1"/>
    <col min="22" max="22" width="11" style="1" customWidth="1"/>
    <col min="23" max="24" width="11" style="1" hidden="1" customWidth="1"/>
    <col min="25" max="25" width="2" style="1" customWidth="1"/>
    <col min="26" max="26" width="16" style="1" customWidth="1"/>
    <col min="27" max="27" width="16" style="70" hidden="1" customWidth="1"/>
    <col min="28" max="16384" width="16" style="1"/>
  </cols>
  <sheetData>
    <row r="1" spans="1:208" ht="36" thickTop="1" thickBot="1">
      <c r="A1" s="220" t="str">
        <f>Summary!$A$2</f>
        <v>OLYMPIC ACCOUNTS</v>
      </c>
      <c r="O1" s="222" t="str">
        <f>Summary!$T$2</f>
        <v>23 January 2020</v>
      </c>
      <c r="Y1" s="820" t="str">
        <f>Summary!$T$2</f>
        <v>23 January 2020</v>
      </c>
      <c r="AA1" s="214">
        <f>SUM(AA6:AA72)</f>
        <v>0</v>
      </c>
      <c r="AC1" s="70"/>
      <c r="AD1" s="70"/>
      <c r="AE1" s="70"/>
      <c r="AF1" s="70"/>
      <c r="AG1" s="70"/>
      <c r="AH1" s="70"/>
      <c r="AI1" s="70"/>
      <c r="AJ1" s="70"/>
      <c r="AK1" s="70"/>
    </row>
    <row r="2" spans="1:208" ht="38.25" customHeight="1" thickTop="1">
      <c r="A2" s="225" t="s">
        <v>108</v>
      </c>
      <c r="O2" s="222"/>
      <c r="AA2" s="1"/>
      <c r="AC2" s="70"/>
      <c r="AD2" s="70"/>
      <c r="AE2" s="70"/>
      <c r="AF2" s="70"/>
      <c r="AG2" s="70"/>
      <c r="AH2" s="70"/>
      <c r="AI2" s="70"/>
      <c r="AJ2" s="70"/>
      <c r="AK2" s="70"/>
    </row>
    <row r="3" spans="1:208" ht="18.75" customHeight="1" thickBot="1">
      <c r="A3" s="220"/>
      <c r="H3" s="221"/>
      <c r="O3" s="222"/>
      <c r="AA3" s="1"/>
      <c r="AC3" s="70"/>
      <c r="AD3" s="70"/>
      <c r="AE3" s="70"/>
      <c r="AF3" s="70"/>
      <c r="AG3" s="70"/>
      <c r="AH3" s="70"/>
      <c r="AI3" s="70"/>
      <c r="AJ3" s="70"/>
      <c r="AK3" s="70"/>
    </row>
    <row r="4" spans="1:208" ht="8" hidden="1" thickTop="1" thickBot="1">
      <c r="A4" s="12" t="s">
        <v>66</v>
      </c>
      <c r="F4" s="197" t="s">
        <v>98</v>
      </c>
      <c r="G4" s="198"/>
      <c r="K4" s="197" t="s">
        <v>99</v>
      </c>
      <c r="L4" s="264"/>
      <c r="M4" s="198"/>
    </row>
    <row r="5" spans="1:208" ht="8" hidden="1" thickTop="1" thickBot="1">
      <c r="A5" s="8"/>
      <c r="B5" s="395"/>
      <c r="C5" s="465"/>
      <c r="D5" s="66"/>
      <c r="E5" s="90"/>
      <c r="F5" s="286"/>
      <c r="G5" s="465"/>
      <c r="H5" s="16"/>
      <c r="I5" s="66"/>
      <c r="K5" s="8"/>
      <c r="L5" s="161"/>
      <c r="M5" s="16"/>
      <c r="N5" s="66"/>
      <c r="R5" s="14"/>
      <c r="S5" s="14"/>
      <c r="T5" s="14"/>
      <c r="U5" s="14"/>
      <c r="V5" s="14"/>
      <c r="W5" s="14"/>
      <c r="X5" s="14"/>
      <c r="Y5" s="14"/>
      <c r="AA5" s="90"/>
    </row>
    <row r="6" spans="1:208" ht="8" hidden="1" thickTop="1" thickBot="1">
      <c r="A6" s="7"/>
      <c r="B6" s="468"/>
      <c r="C6" s="466"/>
      <c r="D6" s="163"/>
      <c r="E6" s="90"/>
      <c r="F6" s="471"/>
      <c r="G6" s="466"/>
      <c r="H6" s="23"/>
      <c r="I6" s="163"/>
      <c r="K6" s="7"/>
      <c r="L6" s="162"/>
      <c r="M6" s="23"/>
      <c r="N6" s="163"/>
      <c r="R6" s="14"/>
      <c r="S6" s="14"/>
      <c r="T6" s="14"/>
      <c r="U6" s="14"/>
      <c r="V6" s="14"/>
      <c r="W6" s="14"/>
      <c r="X6" s="14"/>
      <c r="Y6" s="14"/>
      <c r="AA6" s="196">
        <f>SUM(B9:F9)</f>
        <v>0</v>
      </c>
    </row>
    <row r="7" spans="1:208" s="195" customFormat="1" ht="8" hidden="1" thickTop="1" thickBot="1">
      <c r="A7" s="193"/>
      <c r="B7" s="469"/>
      <c r="C7" s="467"/>
      <c r="D7" s="194"/>
      <c r="E7" s="199"/>
      <c r="F7" s="472"/>
      <c r="G7" s="319"/>
      <c r="H7" s="203"/>
      <c r="I7" s="204"/>
      <c r="K7" s="201"/>
      <c r="L7" s="202"/>
      <c r="M7" s="203"/>
      <c r="N7" s="204"/>
      <c r="R7" s="200"/>
      <c r="S7" s="200"/>
      <c r="T7" s="200"/>
      <c r="U7" s="200"/>
      <c r="V7" s="200"/>
      <c r="W7" s="200"/>
      <c r="X7" s="200"/>
      <c r="Y7" s="200"/>
      <c r="Z7" s="200"/>
      <c r="AA7" s="196">
        <f>SUM(H9:L9)</f>
        <v>0</v>
      </c>
    </row>
    <row r="8" spans="1:208" s="210" customFormat="1" ht="8" hidden="1" thickTop="1" thickBot="1">
      <c r="A8" s="205" t="s">
        <v>69</v>
      </c>
      <c r="B8" s="470" t="str">
        <f>IF(B7=0,"","post bal.")</f>
        <v/>
      </c>
      <c r="C8" s="363" t="str">
        <f>IF(C7=0,"","post bal.")</f>
        <v/>
      </c>
      <c r="D8" s="364" t="str">
        <f>IF(D7=0,"","post bal.")</f>
        <v/>
      </c>
      <c r="E8" s="209"/>
      <c r="F8" s="470" t="str">
        <f>IF(F7=0,"","post bal.")</f>
        <v/>
      </c>
      <c r="G8" s="363" t="str">
        <f>IF(G7=0,"","post bal.")</f>
        <v/>
      </c>
      <c r="H8" s="363" t="str">
        <f>IF(H7=0,"","post bal.")</f>
        <v/>
      </c>
      <c r="I8" s="364" t="str">
        <f>IF(I7=0,"","post bal.")</f>
        <v/>
      </c>
      <c r="K8" s="212" t="s">
        <v>70</v>
      </c>
      <c r="L8" s="206"/>
      <c r="M8" s="207"/>
      <c r="N8" s="208"/>
      <c r="AA8" s="211">
        <f>SUM(N9:R9)</f>
        <v>0</v>
      </c>
    </row>
    <row r="9" spans="1:208" ht="7.5" hidden="1" thickTop="1">
      <c r="A9" s="3"/>
      <c r="B9" s="117">
        <f>IF(B8="post bal.",B7,0)</f>
        <v>0</v>
      </c>
      <c r="C9" s="117">
        <f>IF(C8="post bal.",C7,0)</f>
        <v>0</v>
      </c>
      <c r="D9" s="117">
        <f t="shared" ref="D9:R9" si="0">IF(D8="post bal.",D7,0)</f>
        <v>0</v>
      </c>
      <c r="E9" s="3">
        <f t="shared" si="0"/>
        <v>0</v>
      </c>
      <c r="F9" s="117">
        <f t="shared" si="0"/>
        <v>0</v>
      </c>
      <c r="G9" s="117">
        <f t="shared" si="0"/>
        <v>0</v>
      </c>
      <c r="H9" s="117">
        <f t="shared" si="0"/>
        <v>0</v>
      </c>
      <c r="I9" s="117">
        <f t="shared" si="0"/>
        <v>0</v>
      </c>
      <c r="J9" s="3">
        <f>IF(H8="post bal.",H7,0)</f>
        <v>0</v>
      </c>
      <c r="K9" s="117">
        <f>IF(K8="post bal.",K7,0)</f>
        <v>0</v>
      </c>
      <c r="L9" s="117">
        <f>IF(L8="post bal.",L7,0)</f>
        <v>0</v>
      </c>
      <c r="M9" s="117">
        <f>IF(M8="post bal.",M7,0)</f>
        <v>0</v>
      </c>
      <c r="N9" s="117">
        <f>IF(N8="post bal.",N7,0)</f>
        <v>0</v>
      </c>
      <c r="O9" s="3">
        <f>IF(L8="post bal.",L7,0)</f>
        <v>0</v>
      </c>
      <c r="P9" s="3">
        <f>IF(M8="post bal.",M7,0)</f>
        <v>0</v>
      </c>
      <c r="Q9" s="3">
        <f>IF(N8="post bal.",N7,0)</f>
        <v>0</v>
      </c>
      <c r="R9" s="3">
        <f t="shared" si="0"/>
        <v>0</v>
      </c>
      <c r="S9" s="70"/>
      <c r="T9" s="70"/>
      <c r="U9" s="70"/>
      <c r="V9" s="70"/>
      <c r="W9" s="70"/>
      <c r="X9" s="70"/>
    </row>
    <row r="10" spans="1:208" ht="8" hidden="1" thickTop="1" thickBot="1">
      <c r="F10" s="48"/>
    </row>
    <row r="11" spans="1:208" ht="11.5" thickTop="1" thickBot="1">
      <c r="A11" s="11" t="s">
        <v>11</v>
      </c>
      <c r="E11" s="506"/>
      <c r="F11" s="506"/>
      <c r="AA11" s="90"/>
    </row>
    <row r="12" spans="1:208" ht="7.5" thickTop="1">
      <c r="A12" s="87" t="s">
        <v>71</v>
      </c>
      <c r="B12" s="823"/>
      <c r="C12" s="556"/>
      <c r="D12" s="642"/>
      <c r="E12" s="556"/>
      <c r="F12" s="591"/>
      <c r="G12" s="17"/>
      <c r="H12" s="83"/>
      <c r="I12" s="83"/>
      <c r="J12" s="13"/>
      <c r="K12" s="13"/>
      <c r="L12" s="19"/>
      <c r="M12" s="17"/>
      <c r="N12" s="17"/>
      <c r="O12" s="17"/>
      <c r="P12" s="17"/>
      <c r="Q12" s="17"/>
      <c r="R12" s="24"/>
      <c r="S12" s="160"/>
      <c r="T12" s="164"/>
      <c r="U12" s="164"/>
      <c r="V12" s="164"/>
      <c r="W12" s="164"/>
      <c r="X12" s="164"/>
      <c r="Z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</row>
    <row r="13" spans="1:208">
      <c r="A13" s="7" t="s">
        <v>72</v>
      </c>
      <c r="B13" s="824"/>
      <c r="C13" s="557"/>
      <c r="D13" s="577"/>
      <c r="E13" s="601"/>
      <c r="F13" s="88"/>
      <c r="G13" s="86"/>
      <c r="H13" s="86"/>
      <c r="I13" s="86"/>
      <c r="J13" s="86"/>
      <c r="K13" s="86"/>
      <c r="L13" s="88"/>
      <c r="M13" s="88"/>
      <c r="N13" s="88"/>
      <c r="O13" s="88"/>
      <c r="P13" s="59"/>
      <c r="Q13" s="59"/>
      <c r="R13" s="164"/>
      <c r="S13" s="60"/>
      <c r="T13" s="164"/>
      <c r="U13" s="164"/>
      <c r="V13" s="164"/>
      <c r="W13" s="164"/>
      <c r="X13" s="164"/>
    </row>
    <row r="14" spans="1:208">
      <c r="A14" s="104" t="s">
        <v>14</v>
      </c>
      <c r="B14" s="490"/>
      <c r="C14" s="558"/>
      <c r="D14" s="578"/>
      <c r="E14" s="558"/>
      <c r="F14" s="592"/>
      <c r="G14" s="106"/>
      <c r="H14" s="106"/>
      <c r="I14" s="106"/>
      <c r="J14" s="105"/>
      <c r="K14" s="105"/>
      <c r="L14" s="105"/>
      <c r="M14" s="105"/>
      <c r="N14" s="20"/>
      <c r="O14" s="20"/>
      <c r="P14" s="20"/>
      <c r="Q14" s="20"/>
      <c r="R14" s="22"/>
      <c r="S14" s="6"/>
      <c r="T14" s="70"/>
      <c r="U14" s="70"/>
      <c r="V14" s="70"/>
      <c r="W14" s="70"/>
      <c r="X14" s="70"/>
    </row>
    <row r="15" spans="1:208" ht="7.5" thickBot="1">
      <c r="A15" s="108" t="s">
        <v>15</v>
      </c>
      <c r="B15" s="491"/>
      <c r="C15" s="559"/>
      <c r="D15" s="579"/>
      <c r="E15" s="559"/>
      <c r="F15" s="593"/>
      <c r="G15" s="110"/>
      <c r="H15" s="110"/>
      <c r="I15" s="110"/>
      <c r="J15" s="98"/>
      <c r="K15" s="98"/>
      <c r="L15" s="98"/>
      <c r="M15" s="98"/>
      <c r="N15" s="77"/>
      <c r="O15" s="77"/>
      <c r="P15" s="77"/>
      <c r="Q15" s="77"/>
      <c r="R15" s="78"/>
      <c r="S15" s="27"/>
      <c r="T15" s="70"/>
      <c r="U15" s="70"/>
      <c r="V15" s="70"/>
      <c r="W15" s="70"/>
      <c r="X15" s="70"/>
    </row>
    <row r="16" spans="1:208" s="284" customFormat="1" ht="8" hidden="1" thickTop="1" thickBot="1">
      <c r="A16" s="282" t="s">
        <v>131</v>
      </c>
      <c r="B16" s="492"/>
      <c r="C16" s="560">
        <v>42724</v>
      </c>
      <c r="D16" s="580"/>
      <c r="E16" s="560"/>
      <c r="F16" s="594"/>
      <c r="G16" s="283">
        <f>IF(OR(ISTEXT(G13),G13=0),Summary!$E$1-7,G13-MOD(G13-Summary!$E$1,7))</f>
        <v>43580</v>
      </c>
      <c r="H16" s="283">
        <f>IF(OR(ISTEXT(H13),H13=0),Summary!$E$1-7,H13-MOD(H13-Summary!$E$1,7))</f>
        <v>43580</v>
      </c>
      <c r="I16" s="283">
        <f>IF(OR(ISTEXT(I13),I13=0),Summary!$E$1-7,I13-MOD(I13-Summary!$E$1,7))</f>
        <v>43580</v>
      </c>
      <c r="J16" s="283">
        <f>IF(OR(ISTEXT(J13),J13=0),Summary!$E$1-7,J13-MOD(J13-Summary!$E$1,7))</f>
        <v>43580</v>
      </c>
      <c r="K16" s="283">
        <f>IF(OR(ISTEXT(K13),K13=0),Summary!$E$1-7,K13-MOD(K13-Summary!$E$1,7))</f>
        <v>43580</v>
      </c>
      <c r="L16" s="283">
        <f>IF(OR(ISTEXT(L13),L13=0),Summary!$E$1-7,L13-MOD(L13-Summary!$E$1,7))</f>
        <v>43580</v>
      </c>
      <c r="M16" s="283">
        <f>IF(OR(ISTEXT(M13),M13=0),Summary!$E$1-7,M13-MOD(M13-Summary!$E$1,7))</f>
        <v>43580</v>
      </c>
      <c r="N16" s="283">
        <f>IF(OR(ISTEXT(N13),N13=0),Summary!$E$1-7,N13-MOD(N13-Summary!$E$1,7))</f>
        <v>43580</v>
      </c>
      <c r="O16" s="283">
        <f>IF(OR(ISTEXT(O13),O13=0),Summary!$E$1-7,O13-MOD(O13-Summary!$E$1,7))</f>
        <v>43580</v>
      </c>
      <c r="P16" s="283">
        <f>IF(OR(ISTEXT(P13),P13=0),Summary!$E$1-7,P13-MOD(P13-Summary!$E$1,7))</f>
        <v>43580</v>
      </c>
      <c r="Q16" s="283">
        <f>IF(OR(ISTEXT(Q13),Q13=0),Summary!$E$1-7,Q13-MOD(Q13-Summary!$E$1,7))</f>
        <v>43580</v>
      </c>
      <c r="R16" s="309">
        <f>IF(OR(ISTEXT(R13),R13=0),Summary!$E$1-7,R13-MOD(R13-Summary!$E$1,7))</f>
        <v>43580</v>
      </c>
      <c r="S16" s="827">
        <f>IF(OR(ISTEXT(S13),S13=0),Summary!$E$1-7,S13-MOD(S13-Summary!$E$1,7))</f>
        <v>43580</v>
      </c>
      <c r="T16" s="285"/>
      <c r="U16" s="285"/>
      <c r="V16" s="285"/>
      <c r="W16" s="285"/>
      <c r="X16" s="285"/>
      <c r="Z16" s="285"/>
      <c r="AC16" s="285"/>
      <c r="AD16" s="285"/>
      <c r="AE16" s="285"/>
      <c r="AF16" s="285"/>
      <c r="AG16" s="285"/>
      <c r="AH16" s="285"/>
      <c r="AI16" s="285"/>
      <c r="AJ16" s="285"/>
      <c r="AK16" s="285"/>
    </row>
    <row r="17" spans="1:37" s="284" customFormat="1" ht="8" hidden="1" thickTop="1" thickBot="1">
      <c r="A17" s="276" t="s">
        <v>147</v>
      </c>
      <c r="B17" s="493" t="b">
        <v>0</v>
      </c>
      <c r="C17" s="561" t="b">
        <v>0</v>
      </c>
      <c r="D17" s="581"/>
      <c r="E17" s="561"/>
      <c r="F17" s="595"/>
      <c r="G17" s="337" t="b">
        <f t="shared" ref="G17:R17" si="1">OR(ISNUMBER(HLOOKUP(G16,G53:AD54,2)),ISNUMBER(HLOOKUP(G16,G94:AD95,2)))</f>
        <v>0</v>
      </c>
      <c r="H17" s="337" t="b">
        <f t="shared" si="1"/>
        <v>0</v>
      </c>
      <c r="I17" s="337" t="b">
        <f t="shared" si="1"/>
        <v>0</v>
      </c>
      <c r="J17" s="337" t="b">
        <f t="shared" si="1"/>
        <v>0</v>
      </c>
      <c r="K17" s="337" t="b">
        <f t="shared" si="1"/>
        <v>0</v>
      </c>
      <c r="L17" s="337" t="b">
        <f t="shared" si="1"/>
        <v>0</v>
      </c>
      <c r="M17" s="337" t="b">
        <f t="shared" si="1"/>
        <v>0</v>
      </c>
      <c r="N17" s="337" t="b">
        <f t="shared" si="1"/>
        <v>0</v>
      </c>
      <c r="O17" s="337" t="b">
        <f t="shared" si="1"/>
        <v>0</v>
      </c>
      <c r="P17" s="337" t="b">
        <f t="shared" si="1"/>
        <v>0</v>
      </c>
      <c r="Q17" s="337" t="b">
        <f t="shared" si="1"/>
        <v>0</v>
      </c>
      <c r="R17" s="639" t="b">
        <f t="shared" si="1"/>
        <v>0</v>
      </c>
      <c r="S17" s="828" t="b">
        <f>OR(ISNUMBER(HLOOKUP(S16,Y53:AP54,2)),ISNUMBER(HLOOKUP(S16,Y94:AP95,2)))</f>
        <v>0</v>
      </c>
      <c r="T17" s="275"/>
      <c r="U17" s="275"/>
      <c r="V17" s="275"/>
      <c r="W17" s="275"/>
      <c r="X17" s="275"/>
      <c r="Z17" s="285"/>
      <c r="AC17" s="285"/>
      <c r="AD17" s="285"/>
      <c r="AE17" s="285"/>
      <c r="AF17" s="285"/>
      <c r="AG17" s="285"/>
      <c r="AH17" s="285"/>
      <c r="AI17" s="285"/>
      <c r="AJ17" s="285"/>
      <c r="AK17" s="285"/>
    </row>
    <row r="18" spans="1:37" s="284" customFormat="1" ht="8" hidden="1" thickTop="1" thickBot="1">
      <c r="A18" s="276" t="s">
        <v>145</v>
      </c>
      <c r="B18" s="493">
        <v>0</v>
      </c>
      <c r="C18" s="561">
        <v>1</v>
      </c>
      <c r="D18" s="581"/>
      <c r="E18" s="561"/>
      <c r="F18" s="595"/>
      <c r="G18" s="337">
        <f t="shared" ref="G18:R18" si="2">IF(OR(G17,G14=0),0,1)</f>
        <v>0</v>
      </c>
      <c r="H18" s="337">
        <f t="shared" si="2"/>
        <v>0</v>
      </c>
      <c r="I18" s="337">
        <f t="shared" si="2"/>
        <v>0</v>
      </c>
      <c r="J18" s="337">
        <f t="shared" si="2"/>
        <v>0</v>
      </c>
      <c r="K18" s="337">
        <f t="shared" si="2"/>
        <v>0</v>
      </c>
      <c r="L18" s="337">
        <f t="shared" si="2"/>
        <v>0</v>
      </c>
      <c r="M18" s="337">
        <f t="shared" si="2"/>
        <v>0</v>
      </c>
      <c r="N18" s="337">
        <f t="shared" si="2"/>
        <v>0</v>
      </c>
      <c r="O18" s="337">
        <f t="shared" si="2"/>
        <v>0</v>
      </c>
      <c r="P18" s="337">
        <f t="shared" si="2"/>
        <v>0</v>
      </c>
      <c r="Q18" s="337">
        <f t="shared" si="2"/>
        <v>0</v>
      </c>
      <c r="R18" s="639">
        <f t="shared" si="2"/>
        <v>0</v>
      </c>
      <c r="S18" s="828">
        <f>IF(OR(S17,S14=0),0,1)</f>
        <v>0</v>
      </c>
      <c r="T18" s="275"/>
      <c r="U18" s="275"/>
      <c r="V18" s="275"/>
      <c r="W18" s="275"/>
      <c r="X18" s="275"/>
      <c r="Z18" s="285"/>
      <c r="AC18" s="285"/>
      <c r="AD18" s="285"/>
      <c r="AE18" s="285"/>
      <c r="AF18" s="285"/>
      <c r="AG18" s="285"/>
      <c r="AH18" s="285"/>
      <c r="AI18" s="285"/>
      <c r="AJ18" s="285"/>
      <c r="AK18" s="285"/>
    </row>
    <row r="19" spans="1:37" s="273" customFormat="1" ht="8" hidden="1" thickTop="1" thickBot="1">
      <c r="A19" s="276" t="s">
        <v>146</v>
      </c>
      <c r="B19" s="494" t="s">
        <v>146</v>
      </c>
      <c r="C19" s="458">
        <v>13</v>
      </c>
      <c r="D19" s="458"/>
      <c r="E19" s="561"/>
      <c r="F19" s="336"/>
      <c r="G19" s="336">
        <f t="shared" ref="G19:R19" si="3">G18+F19</f>
        <v>0</v>
      </c>
      <c r="H19" s="336">
        <f t="shared" si="3"/>
        <v>0</v>
      </c>
      <c r="I19" s="336">
        <f t="shared" si="3"/>
        <v>0</v>
      </c>
      <c r="J19" s="336">
        <f t="shared" si="3"/>
        <v>0</v>
      </c>
      <c r="K19" s="336">
        <f t="shared" si="3"/>
        <v>0</v>
      </c>
      <c r="L19" s="336">
        <f t="shared" si="3"/>
        <v>0</v>
      </c>
      <c r="M19" s="336">
        <f t="shared" si="3"/>
        <v>0</v>
      </c>
      <c r="N19" s="336">
        <f t="shared" si="3"/>
        <v>0</v>
      </c>
      <c r="O19" s="336">
        <f t="shared" si="3"/>
        <v>0</v>
      </c>
      <c r="P19" s="336">
        <f t="shared" si="3"/>
        <v>0</v>
      </c>
      <c r="Q19" s="336">
        <f t="shared" si="3"/>
        <v>0</v>
      </c>
      <c r="R19" s="826">
        <f t="shared" si="3"/>
        <v>0</v>
      </c>
      <c r="S19" s="829">
        <f>S18+R19</f>
        <v>0</v>
      </c>
      <c r="T19" s="826"/>
      <c r="U19" s="826"/>
      <c r="V19" s="826"/>
      <c r="W19" s="826"/>
      <c r="X19" s="826"/>
      <c r="Z19" s="274"/>
      <c r="AC19" s="274"/>
      <c r="AD19" s="274"/>
      <c r="AE19" s="274"/>
      <c r="AF19" s="274"/>
      <c r="AG19" s="274"/>
      <c r="AH19" s="274"/>
      <c r="AI19" s="274"/>
      <c r="AJ19" s="274"/>
      <c r="AK19" s="274"/>
    </row>
    <row r="20" spans="1:37" s="273" customFormat="1" ht="8" hidden="1" thickTop="1" thickBot="1">
      <c r="A20" s="276" t="s">
        <v>130</v>
      </c>
      <c r="B20" s="495"/>
      <c r="C20" s="458">
        <v>1</v>
      </c>
      <c r="D20" s="458"/>
      <c r="E20" s="561"/>
      <c r="F20" s="275"/>
      <c r="G20" s="275">
        <f t="shared" ref="G20:O20" si="4">IF(ISERROR(G13-E13),0,IF(OR(G13-E13&lt;7,LEN(G12)&gt;6),0,1))</f>
        <v>0</v>
      </c>
      <c r="H20" s="275">
        <f t="shared" si="4"/>
        <v>0</v>
      </c>
      <c r="I20" s="275">
        <f t="shared" si="4"/>
        <v>0</v>
      </c>
      <c r="J20" s="275">
        <f t="shared" si="4"/>
        <v>0</v>
      </c>
      <c r="K20" s="275">
        <f t="shared" si="4"/>
        <v>0</v>
      </c>
      <c r="L20" s="275">
        <f t="shared" si="4"/>
        <v>0</v>
      </c>
      <c r="M20" s="275">
        <f t="shared" si="4"/>
        <v>0</v>
      </c>
      <c r="N20" s="275">
        <f t="shared" si="4"/>
        <v>0</v>
      </c>
      <c r="O20" s="275">
        <f t="shared" si="4"/>
        <v>0</v>
      </c>
      <c r="P20" s="275">
        <f>IF(ISERROR(P13-O13),0,IF(OR(P13-O13&lt;7,LEN(P12)&gt;6),0,1))</f>
        <v>0</v>
      </c>
      <c r="Q20" s="275">
        <f>IF(ISERROR(Q13-P13),0,IF(OR(Q13-P13&lt;7,LEN(Q12)&gt;6),0,1))</f>
        <v>0</v>
      </c>
      <c r="R20" s="275">
        <f>IF(ISERROR(R13-Q13),0,IF(OR(R13-Q13&lt;7,LEN(R12)&gt;6),0,1))</f>
        <v>0</v>
      </c>
      <c r="S20" s="828">
        <f>IF(ISERROR(S13-Q13),0,IF(OR(S13-Q13&lt;7,LEN(S12)&gt;6),0,1))</f>
        <v>0</v>
      </c>
      <c r="T20" s="275"/>
      <c r="U20" s="275"/>
      <c r="V20" s="275"/>
      <c r="W20" s="275"/>
      <c r="X20" s="275"/>
      <c r="Z20" s="274"/>
      <c r="AC20" s="274"/>
      <c r="AD20" s="274"/>
      <c r="AE20" s="274"/>
      <c r="AF20" s="274"/>
      <c r="AG20" s="274"/>
      <c r="AH20" s="274"/>
      <c r="AI20" s="274"/>
      <c r="AJ20" s="274"/>
      <c r="AK20" s="274"/>
    </row>
    <row r="21" spans="1:37" ht="11.5" thickTop="1" thickBot="1">
      <c r="A21" s="68" t="s">
        <v>16</v>
      </c>
      <c r="B21" s="488"/>
      <c r="C21" s="562"/>
      <c r="D21" s="582"/>
      <c r="E21" s="602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6"/>
      <c r="T21" s="70"/>
      <c r="U21" s="70"/>
      <c r="V21" s="70"/>
      <c r="W21" s="70"/>
      <c r="X21" s="70"/>
      <c r="AA21" s="90"/>
    </row>
    <row r="22" spans="1:37" s="76" customFormat="1" ht="7.5" thickTop="1">
      <c r="A22" s="166" t="s">
        <v>25</v>
      </c>
      <c r="B22" s="489"/>
      <c r="C22" s="563"/>
      <c r="D22" s="583"/>
      <c r="E22" s="563"/>
      <c r="F22" s="73"/>
      <c r="G22" s="85"/>
      <c r="H22" s="85"/>
      <c r="I22" s="85"/>
      <c r="J22" s="85"/>
      <c r="K22" s="85"/>
      <c r="L22" s="54"/>
      <c r="M22" s="54"/>
      <c r="N22" s="143"/>
      <c r="O22" s="143"/>
      <c r="P22" s="143"/>
      <c r="Q22" s="143"/>
      <c r="R22" s="143"/>
      <c r="S22" s="167"/>
      <c r="T22" s="116"/>
      <c r="U22" s="116"/>
      <c r="V22" s="116"/>
      <c r="W22" s="116"/>
      <c r="X22" s="116"/>
      <c r="AA22" s="116"/>
    </row>
    <row r="23" spans="1:37" s="76" customFormat="1">
      <c r="A23" s="155" t="s">
        <v>26</v>
      </c>
      <c r="B23" s="496"/>
      <c r="C23" s="564"/>
      <c r="D23" s="584"/>
      <c r="E23" s="564"/>
      <c r="F23" s="71"/>
      <c r="G23" s="74"/>
      <c r="H23" s="74"/>
      <c r="I23" s="74"/>
      <c r="J23" s="74"/>
      <c r="K23" s="74"/>
      <c r="L23" s="56"/>
      <c r="M23" s="56"/>
      <c r="N23" s="144"/>
      <c r="O23" s="144"/>
      <c r="P23" s="144"/>
      <c r="Q23" s="144"/>
      <c r="R23" s="144"/>
      <c r="S23" s="154"/>
      <c r="T23" s="116"/>
      <c r="U23" s="116"/>
      <c r="V23" s="116"/>
      <c r="W23" s="116"/>
      <c r="X23" s="116"/>
      <c r="AA23" s="116"/>
    </row>
    <row r="24" spans="1:37" s="76" customFormat="1" ht="7.5" thickBot="1">
      <c r="A24" s="156" t="s">
        <v>29</v>
      </c>
      <c r="B24" s="497"/>
      <c r="C24" s="565"/>
      <c r="D24" s="585"/>
      <c r="E24" s="565"/>
      <c r="F24" s="71"/>
      <c r="G24" s="74"/>
      <c r="H24" s="74"/>
      <c r="I24" s="74"/>
      <c r="J24" s="74"/>
      <c r="K24" s="74"/>
      <c r="L24" s="56"/>
      <c r="M24" s="56"/>
      <c r="N24" s="144"/>
      <c r="O24" s="144"/>
      <c r="P24" s="144"/>
      <c r="Q24" s="144"/>
      <c r="R24" s="144"/>
      <c r="S24" s="154"/>
      <c r="T24" s="116"/>
      <c r="U24" s="116"/>
      <c r="V24" s="116"/>
      <c r="W24" s="116"/>
      <c r="X24" s="116"/>
      <c r="AA24" s="69"/>
    </row>
    <row r="25" spans="1:37" s="48" customFormat="1" ht="11.5" thickTop="1" thickBot="1">
      <c r="A25" s="115" t="s">
        <v>73</v>
      </c>
      <c r="B25" s="498">
        <v>0</v>
      </c>
      <c r="C25" s="74">
        <f>SUM(C22:C24)</f>
        <v>0</v>
      </c>
      <c r="D25" s="74">
        <f>SUM(D22:D24)</f>
        <v>0</v>
      </c>
      <c r="E25" s="603"/>
      <c r="F25" s="80"/>
      <c r="G25" s="84"/>
      <c r="H25" s="84"/>
      <c r="I25" s="84"/>
      <c r="J25" s="84"/>
      <c r="K25" s="84"/>
      <c r="L25" s="82"/>
      <c r="M25" s="82"/>
      <c r="N25" s="82"/>
      <c r="O25" s="82"/>
      <c r="P25" s="82"/>
      <c r="Q25" s="82"/>
      <c r="R25" s="82"/>
      <c r="S25" s="121"/>
      <c r="T25" s="69"/>
      <c r="U25" s="69"/>
      <c r="V25" s="69"/>
      <c r="W25" s="69"/>
      <c r="X25" s="69"/>
      <c r="AA25" s="313"/>
    </row>
    <row r="26" spans="1:37" ht="11.5" thickTop="1" thickBot="1">
      <c r="A26" s="11" t="s">
        <v>75</v>
      </c>
      <c r="B26" s="499" t="s">
        <v>117</v>
      </c>
      <c r="C26" s="567" t="s">
        <v>117</v>
      </c>
      <c r="D26" s="586"/>
      <c r="E26" s="604"/>
      <c r="F26" s="3" t="s">
        <v>117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5"/>
      <c r="T26" s="70"/>
      <c r="U26" s="70"/>
      <c r="V26" s="70"/>
      <c r="W26" s="70"/>
      <c r="X26" s="70"/>
      <c r="AA26" s="116"/>
    </row>
    <row r="27" spans="1:37" s="76" customFormat="1" ht="7.5" thickTop="1">
      <c r="A27" s="166" t="s">
        <v>39</v>
      </c>
      <c r="B27" s="489"/>
      <c r="C27" s="563"/>
      <c r="D27" s="583"/>
      <c r="E27" s="563"/>
      <c r="F27" s="73"/>
      <c r="G27" s="85"/>
      <c r="H27" s="85"/>
      <c r="I27" s="85"/>
      <c r="J27" s="85"/>
      <c r="K27" s="85"/>
      <c r="L27" s="85"/>
      <c r="M27" s="85"/>
      <c r="N27" s="143"/>
      <c r="O27" s="143"/>
      <c r="P27" s="143"/>
      <c r="Q27" s="143"/>
      <c r="R27" s="143"/>
      <c r="S27" s="167"/>
      <c r="T27" s="116"/>
      <c r="U27" s="116"/>
      <c r="V27" s="116"/>
      <c r="W27" s="116"/>
      <c r="X27" s="116"/>
      <c r="AA27" s="116"/>
    </row>
    <row r="28" spans="1:37" s="76" customFormat="1">
      <c r="A28" s="155" t="s">
        <v>40</v>
      </c>
      <c r="B28" s="496"/>
      <c r="C28" s="564"/>
      <c r="D28" s="584"/>
      <c r="E28" s="564"/>
      <c r="F28" s="71"/>
      <c r="G28" s="74"/>
      <c r="H28" s="74"/>
      <c r="I28" s="74"/>
      <c r="J28" s="74"/>
      <c r="K28" s="74"/>
      <c r="L28" s="74"/>
      <c r="M28" s="74"/>
      <c r="N28" s="144"/>
      <c r="O28" s="144"/>
      <c r="P28" s="144"/>
      <c r="Q28" s="144"/>
      <c r="R28" s="144"/>
      <c r="S28" s="154"/>
      <c r="T28" s="116"/>
      <c r="U28" s="116"/>
      <c r="V28" s="116"/>
      <c r="W28" s="116"/>
      <c r="X28" s="116"/>
      <c r="AA28" s="116"/>
    </row>
    <row r="29" spans="1:37" s="76" customFormat="1">
      <c r="A29" s="155" t="s">
        <v>41</v>
      </c>
      <c r="B29" s="496"/>
      <c r="C29" s="564"/>
      <c r="D29" s="584"/>
      <c r="E29" s="564"/>
      <c r="F29" s="71"/>
      <c r="G29" s="74"/>
      <c r="H29" s="74"/>
      <c r="I29" s="74"/>
      <c r="J29" s="74"/>
      <c r="K29" s="74"/>
      <c r="L29" s="74"/>
      <c r="M29" s="74"/>
      <c r="N29" s="144"/>
      <c r="O29" s="144"/>
      <c r="P29" s="144"/>
      <c r="Q29" s="144"/>
      <c r="R29" s="144"/>
      <c r="S29" s="154"/>
      <c r="T29" s="116"/>
      <c r="U29" s="116"/>
      <c r="V29" s="116"/>
      <c r="W29" s="116"/>
      <c r="X29" s="116"/>
      <c r="AA29" s="116"/>
    </row>
    <row r="30" spans="1:37" s="76" customFormat="1">
      <c r="A30" s="157" t="s">
        <v>43</v>
      </c>
      <c r="B30" s="500"/>
      <c r="C30" s="568"/>
      <c r="D30" s="568"/>
      <c r="E30" s="605"/>
      <c r="F30" s="103"/>
      <c r="G30" s="100"/>
      <c r="H30" s="100"/>
      <c r="I30" s="100"/>
      <c r="J30" s="100"/>
      <c r="K30" s="100"/>
      <c r="L30" s="100"/>
      <c r="M30" s="100"/>
      <c r="N30" s="144"/>
      <c r="O30" s="144"/>
      <c r="P30" s="144"/>
      <c r="Q30" s="144"/>
      <c r="R30" s="144"/>
      <c r="S30" s="154"/>
      <c r="T30" s="116"/>
      <c r="U30" s="116"/>
      <c r="V30" s="116"/>
      <c r="W30" s="116"/>
      <c r="X30" s="116"/>
      <c r="AA30" s="116"/>
    </row>
    <row r="31" spans="1:37" s="171" customFormat="1">
      <c r="A31" s="168" t="s">
        <v>44</v>
      </c>
      <c r="B31" s="501"/>
      <c r="C31" s="501"/>
      <c r="D31" s="587"/>
      <c r="E31" s="569"/>
      <c r="F31" s="72"/>
      <c r="G31" s="47"/>
      <c r="H31" s="47"/>
      <c r="I31" s="47"/>
      <c r="J31" s="47"/>
      <c r="K31" s="47"/>
      <c r="L31" s="47"/>
      <c r="M31" s="47"/>
      <c r="N31" s="169"/>
      <c r="O31" s="169"/>
      <c r="P31" s="169"/>
      <c r="Q31" s="169"/>
      <c r="R31" s="169"/>
      <c r="S31" s="170"/>
      <c r="T31" s="830"/>
      <c r="U31" s="830"/>
      <c r="V31" s="830"/>
      <c r="W31" s="830"/>
      <c r="X31" s="830"/>
      <c r="AA31" s="116"/>
    </row>
    <row r="32" spans="1:37" s="171" customFormat="1" ht="7.5" thickBot="1">
      <c r="A32" s="172" t="s">
        <v>90</v>
      </c>
      <c r="B32" s="502"/>
      <c r="C32" s="570"/>
      <c r="D32" s="588"/>
      <c r="E32" s="570"/>
      <c r="F32" s="596"/>
      <c r="G32" s="233"/>
      <c r="H32" s="233"/>
      <c r="I32" s="233"/>
      <c r="J32" s="233"/>
      <c r="K32" s="233"/>
      <c r="L32" s="233"/>
      <c r="M32" s="233"/>
      <c r="N32" s="174"/>
      <c r="O32" s="174"/>
      <c r="P32" s="173"/>
      <c r="Q32" s="173"/>
      <c r="R32" s="173"/>
      <c r="S32" s="189"/>
      <c r="T32" s="830"/>
      <c r="U32" s="830"/>
      <c r="V32" s="830"/>
      <c r="W32" s="830"/>
      <c r="X32" s="830"/>
      <c r="AA32" s="69"/>
    </row>
    <row r="33" spans="1:208" s="48" customFormat="1" ht="11.5" thickTop="1" thickBot="1">
      <c r="A33" s="94" t="s">
        <v>76</v>
      </c>
      <c r="B33" s="503"/>
      <c r="C33" s="571"/>
      <c r="D33" s="589"/>
      <c r="E33" s="606"/>
      <c r="F33" s="114"/>
      <c r="G33" s="114"/>
      <c r="H33" s="114"/>
      <c r="I33" s="114"/>
      <c r="J33" s="114"/>
      <c r="K33" s="114"/>
      <c r="L33" s="114"/>
      <c r="M33" s="114"/>
      <c r="N33" s="69"/>
      <c r="O33" s="69"/>
      <c r="P33" s="69"/>
      <c r="Q33" s="69"/>
      <c r="R33" s="69"/>
      <c r="S33" s="250"/>
      <c r="T33" s="69"/>
      <c r="U33" s="830"/>
      <c r="V33" s="830"/>
      <c r="W33" s="69"/>
      <c r="X33" s="69"/>
      <c r="AA33" s="116"/>
    </row>
    <row r="34" spans="1:208" s="76" customFormat="1" ht="7.5" thickTop="1">
      <c r="A34" s="166" t="s">
        <v>49</v>
      </c>
      <c r="B34" s="504"/>
      <c r="C34" s="572"/>
      <c r="D34" s="572"/>
      <c r="E34" s="575"/>
      <c r="F34" s="597"/>
      <c r="G34" s="85"/>
      <c r="H34" s="85"/>
      <c r="I34" s="85"/>
      <c r="J34" s="85"/>
      <c r="K34" s="85"/>
      <c r="L34" s="85"/>
      <c r="M34" s="85"/>
      <c r="N34" s="143"/>
      <c r="O34" s="143"/>
      <c r="P34" s="143"/>
      <c r="Q34" s="143"/>
      <c r="R34" s="143"/>
      <c r="S34" s="167"/>
      <c r="T34" s="116"/>
      <c r="U34" s="830"/>
      <c r="V34" s="830"/>
      <c r="W34" s="116"/>
      <c r="X34" s="116"/>
      <c r="AA34" s="116"/>
    </row>
    <row r="35" spans="1:208" s="76" customFormat="1">
      <c r="A35" s="155" t="s">
        <v>50</v>
      </c>
      <c r="B35" s="505"/>
      <c r="C35" s="566"/>
      <c r="D35" s="573"/>
      <c r="E35" s="566"/>
      <c r="F35" s="71"/>
      <c r="G35" s="74"/>
      <c r="H35" s="74"/>
      <c r="I35" s="74"/>
      <c r="J35" s="74"/>
      <c r="K35" s="74"/>
      <c r="L35" s="74"/>
      <c r="M35" s="74"/>
      <c r="N35" s="144"/>
      <c r="O35" s="144"/>
      <c r="P35" s="144"/>
      <c r="Q35" s="144"/>
      <c r="R35" s="144"/>
      <c r="S35" s="154"/>
      <c r="T35" s="116"/>
      <c r="U35" s="830"/>
      <c r="V35" s="830"/>
      <c r="W35" s="116"/>
      <c r="X35" s="116"/>
      <c r="AA35" s="116"/>
    </row>
    <row r="36" spans="1:208" s="76" customFormat="1">
      <c r="A36" s="155" t="s">
        <v>54</v>
      </c>
      <c r="B36" s="505"/>
      <c r="C36" s="573"/>
      <c r="D36" s="573"/>
      <c r="E36" s="566"/>
      <c r="F36" s="71"/>
      <c r="G36" s="74"/>
      <c r="H36" s="118"/>
      <c r="I36" s="118"/>
      <c r="J36" s="74"/>
      <c r="K36" s="74"/>
      <c r="L36" s="74"/>
      <c r="M36" s="74"/>
      <c r="N36" s="144"/>
      <c r="O36" s="144"/>
      <c r="P36" s="144"/>
      <c r="Q36" s="144"/>
      <c r="R36" s="144"/>
      <c r="S36" s="154"/>
      <c r="T36" s="119"/>
      <c r="U36" s="830"/>
      <c r="V36" s="830"/>
      <c r="W36" s="116"/>
      <c r="X36" s="116"/>
      <c r="AA36" s="116"/>
    </row>
    <row r="37" spans="1:208" s="76" customFormat="1">
      <c r="A37" s="157" t="s">
        <v>51</v>
      </c>
      <c r="B37" s="825"/>
      <c r="C37" s="574"/>
      <c r="D37" s="590"/>
      <c r="E37" s="574"/>
      <c r="F37" s="103"/>
      <c r="G37" s="100"/>
      <c r="H37" s="251"/>
      <c r="I37" s="251"/>
      <c r="J37" s="100"/>
      <c r="K37" s="100"/>
      <c r="L37" s="100"/>
      <c r="M37" s="100"/>
      <c r="N37" s="144"/>
      <c r="O37" s="144"/>
      <c r="P37" s="144"/>
      <c r="Q37" s="144"/>
      <c r="R37" s="144"/>
      <c r="S37" s="188"/>
      <c r="T37" s="191"/>
      <c r="U37" s="830"/>
      <c r="V37" s="830"/>
      <c r="W37" s="116"/>
      <c r="X37" s="116"/>
      <c r="AA37" s="116"/>
    </row>
    <row r="38" spans="1:208" s="171" customFormat="1" ht="7.5" thickBot="1">
      <c r="A38" s="168" t="s">
        <v>77</v>
      </c>
      <c r="B38" s="51"/>
      <c r="C38" s="569"/>
      <c r="D38" s="587"/>
      <c r="E38" s="569"/>
      <c r="F38" s="598"/>
      <c r="G38" s="47"/>
      <c r="H38" s="265"/>
      <c r="I38" s="265"/>
      <c r="J38" s="47"/>
      <c r="K38" s="47"/>
      <c r="L38" s="47"/>
      <c r="M38" s="47"/>
      <c r="N38" s="174"/>
      <c r="O38" s="174"/>
      <c r="P38" s="174"/>
      <c r="Q38" s="174"/>
      <c r="R38" s="173"/>
      <c r="S38" s="189"/>
      <c r="T38" s="831"/>
      <c r="U38" s="830"/>
      <c r="V38" s="830"/>
      <c r="W38" s="830"/>
      <c r="X38" s="830"/>
      <c r="AA38" s="116"/>
    </row>
    <row r="39" spans="1:208" s="76" customFormat="1" ht="11.5" thickTop="1" thickBot="1">
      <c r="A39" s="175" t="s">
        <v>55</v>
      </c>
      <c r="B39" s="54"/>
      <c r="C39" s="575"/>
      <c r="D39" s="54">
        <f>SUM(D32:D37)+D31</f>
        <v>0</v>
      </c>
      <c r="E39" s="575"/>
      <c r="F39" s="599"/>
      <c r="G39" s="84"/>
      <c r="H39" s="266"/>
      <c r="I39" s="266"/>
      <c r="J39" s="84"/>
      <c r="K39" s="84"/>
      <c r="L39" s="84"/>
      <c r="M39" s="84"/>
      <c r="N39" s="176"/>
      <c r="O39" s="176"/>
      <c r="P39" s="176"/>
      <c r="Q39" s="176"/>
      <c r="R39" s="176"/>
      <c r="S39" s="177"/>
      <c r="T39" s="119"/>
      <c r="U39" s="830"/>
      <c r="V39" s="830"/>
      <c r="W39" s="116"/>
      <c r="X39" s="116"/>
      <c r="AA39" s="215"/>
    </row>
    <row r="40" spans="1:208" s="76" customFormat="1" ht="8" thickTop="1" thickBot="1">
      <c r="A40" s="306" t="s">
        <v>139</v>
      </c>
      <c r="B40" s="310"/>
      <c r="C40" s="576"/>
      <c r="D40" s="310">
        <f>D25-D39</f>
        <v>0</v>
      </c>
      <c r="E40" s="576"/>
      <c r="F40" s="311"/>
      <c r="G40" s="307"/>
      <c r="H40" s="307"/>
      <c r="I40" s="307"/>
      <c r="J40" s="85"/>
      <c r="K40" s="85"/>
      <c r="L40" s="54"/>
      <c r="M40" s="54"/>
      <c r="N40" s="143"/>
      <c r="O40" s="143"/>
      <c r="P40" s="143"/>
      <c r="Q40" s="143"/>
      <c r="R40" s="143"/>
      <c r="S40" s="167"/>
      <c r="T40" s="119"/>
      <c r="U40" s="830"/>
      <c r="V40" s="830"/>
      <c r="W40" s="116"/>
      <c r="X40" s="116"/>
      <c r="AA40" s="215"/>
    </row>
    <row r="41" spans="1:208" s="210" customFormat="1" ht="8" thickTop="1" thickBot="1">
      <c r="A41" s="96" t="s">
        <v>138</v>
      </c>
      <c r="B41" s="363" t="str">
        <f t="shared" ref="B41:I41" si="5">IF(B40=0,"","post bal.")</f>
        <v/>
      </c>
      <c r="C41" s="363" t="str">
        <f t="shared" si="5"/>
        <v/>
      </c>
      <c r="D41" s="363" t="str">
        <f t="shared" si="5"/>
        <v/>
      </c>
      <c r="E41" s="363" t="str">
        <f t="shared" si="5"/>
        <v/>
      </c>
      <c r="F41" s="600" t="str">
        <f t="shared" si="5"/>
        <v/>
      </c>
      <c r="G41" s="363" t="str">
        <f t="shared" si="5"/>
        <v/>
      </c>
      <c r="H41" s="363" t="str">
        <f t="shared" si="5"/>
        <v/>
      </c>
      <c r="I41" s="363" t="str">
        <f t="shared" si="5"/>
        <v/>
      </c>
      <c r="J41" s="252" t="str">
        <f>IF(J39=0,"","post bal.")</f>
        <v/>
      </c>
      <c r="K41" s="252" t="str">
        <f>IF(K39=0,"","post bal.")</f>
        <v/>
      </c>
      <c r="L41" s="255" t="str">
        <f>IF(L39=0,"","post bal.")</f>
        <v/>
      </c>
      <c r="M41" s="255" t="str">
        <f>IF(M39=0,"","post bal.")</f>
        <v/>
      </c>
      <c r="N41" s="255" t="str">
        <f>IF(N39=0,"","post bal.")</f>
        <v/>
      </c>
      <c r="O41" s="212"/>
      <c r="P41" s="212"/>
      <c r="Q41" s="212"/>
      <c r="R41" s="212"/>
      <c r="S41" s="213"/>
      <c r="T41" s="832"/>
      <c r="U41" s="830"/>
      <c r="V41" s="830"/>
      <c r="W41" s="209"/>
      <c r="X41" s="209"/>
      <c r="AA41" s="214">
        <f>SUM(B42:Y42)</f>
        <v>0</v>
      </c>
    </row>
    <row r="42" spans="1:208" s="76" customFormat="1" ht="7.5" hidden="1" thickTop="1">
      <c r="B42" s="75">
        <f t="shared" ref="B42:G42" si="6">IF(B41="post bal.",B40,0)</f>
        <v>0</v>
      </c>
      <c r="C42" s="75">
        <f t="shared" si="6"/>
        <v>0</v>
      </c>
      <c r="D42" s="75">
        <f t="shared" si="6"/>
        <v>0</v>
      </c>
      <c r="E42" s="75">
        <f t="shared" si="6"/>
        <v>0</v>
      </c>
      <c r="F42" s="75">
        <f t="shared" si="6"/>
        <v>0</v>
      </c>
      <c r="G42" s="75">
        <f t="shared" si="6"/>
        <v>0</v>
      </c>
      <c r="I42" s="75">
        <f>IF(I41="post bal.",I40,0)</f>
        <v>0</v>
      </c>
      <c r="J42" s="75">
        <f t="shared" ref="J42:R42" si="7">IF(J41="post bal.",J39,0)</f>
        <v>0</v>
      </c>
      <c r="K42" s="75">
        <f t="shared" si="7"/>
        <v>0</v>
      </c>
      <c r="L42" s="75">
        <f t="shared" si="7"/>
        <v>0</v>
      </c>
      <c r="M42" s="75">
        <f t="shared" si="7"/>
        <v>0</v>
      </c>
      <c r="N42" s="75">
        <f t="shared" si="7"/>
        <v>0</v>
      </c>
      <c r="O42" s="75">
        <f t="shared" si="7"/>
        <v>0</v>
      </c>
      <c r="P42" s="75">
        <f t="shared" si="7"/>
        <v>0</v>
      </c>
      <c r="Q42" s="75">
        <f t="shared" si="7"/>
        <v>0</v>
      </c>
      <c r="R42" s="75">
        <f t="shared" si="7"/>
        <v>0</v>
      </c>
      <c r="S42" s="116"/>
      <c r="T42" s="116"/>
      <c r="U42" s="830"/>
      <c r="V42" s="830"/>
      <c r="W42" s="116"/>
      <c r="X42" s="116"/>
      <c r="Y42" s="75"/>
      <c r="AB42" s="76" t="s">
        <v>70</v>
      </c>
      <c r="AC42" s="76" t="s">
        <v>70</v>
      </c>
    </row>
    <row r="43" spans="1:208" ht="7.5" thickTop="1">
      <c r="U43" s="830"/>
      <c r="V43" s="830"/>
      <c r="AA43" s="116"/>
    </row>
    <row r="44" spans="1:208" ht="11.5" hidden="1" thickTop="1" thickBot="1">
      <c r="A44" s="11" t="s">
        <v>11</v>
      </c>
      <c r="U44" s="830"/>
      <c r="V44" s="830"/>
      <c r="AA44" s="90"/>
    </row>
    <row r="45" spans="1:208" ht="7.5" hidden="1" thickTop="1">
      <c r="A45" s="87" t="s">
        <v>71</v>
      </c>
      <c r="B45" s="61"/>
      <c r="C45" s="17"/>
      <c r="D45" s="17"/>
      <c r="E45" s="17"/>
      <c r="F45" s="17"/>
      <c r="G45" s="21"/>
      <c r="H45" s="236"/>
      <c r="I45" s="164"/>
      <c r="J45" s="164"/>
      <c r="K45" s="164"/>
      <c r="L45" s="164"/>
      <c r="M45" s="164"/>
      <c r="N45" s="164"/>
      <c r="O45" s="164"/>
      <c r="P45" s="332"/>
      <c r="Q45" s="164"/>
      <c r="R45" s="164"/>
      <c r="S45" s="164"/>
      <c r="T45" s="164"/>
      <c r="U45" s="830"/>
      <c r="V45" s="830"/>
      <c r="W45" s="164"/>
      <c r="X45" s="164"/>
      <c r="Y45" s="164"/>
      <c r="Z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</row>
    <row r="46" spans="1:208" hidden="1">
      <c r="A46" s="7" t="s">
        <v>72</v>
      </c>
      <c r="B46" s="86"/>
      <c r="C46" s="86"/>
      <c r="D46" s="86"/>
      <c r="E46" s="86"/>
      <c r="F46" s="88"/>
      <c r="G46" s="89"/>
      <c r="H46" s="237"/>
      <c r="I46" s="89"/>
      <c r="J46" s="89"/>
      <c r="K46" s="89"/>
      <c r="L46" s="89"/>
      <c r="M46" s="89"/>
      <c r="N46" s="89"/>
      <c r="O46" s="89"/>
      <c r="P46" s="89"/>
      <c r="Q46" s="89"/>
      <c r="R46" s="164"/>
      <c r="S46" s="164"/>
      <c r="T46" s="164"/>
      <c r="U46" s="830"/>
      <c r="V46" s="830"/>
      <c r="W46" s="164"/>
      <c r="X46" s="164"/>
      <c r="Y46" s="164"/>
    </row>
    <row r="47" spans="1:208" hidden="1">
      <c r="A47" s="104" t="s">
        <v>14</v>
      </c>
      <c r="B47" s="105"/>
      <c r="C47" s="105"/>
      <c r="D47" s="105"/>
      <c r="E47" s="105"/>
      <c r="F47" s="105"/>
      <c r="G47" s="107"/>
      <c r="H47" s="238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830"/>
      <c r="V47" s="830"/>
      <c r="W47" s="70"/>
      <c r="X47" s="70"/>
      <c r="Y47" s="70"/>
    </row>
    <row r="48" spans="1:208" ht="7.5" hidden="1" thickBot="1">
      <c r="A48" s="108" t="s">
        <v>15</v>
      </c>
      <c r="B48" s="318"/>
      <c r="C48" s="98"/>
      <c r="D48" s="98"/>
      <c r="E48" s="98"/>
      <c r="F48" s="98"/>
      <c r="G48" s="111"/>
      <c r="H48" s="9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830"/>
      <c r="V48" s="830"/>
      <c r="W48" s="70"/>
      <c r="X48" s="70"/>
      <c r="Y48" s="70"/>
    </row>
    <row r="49" spans="1:27" ht="7.5" hidden="1" thickTop="1">
      <c r="A49" s="282" t="s">
        <v>131</v>
      </c>
      <c r="B49" s="283">
        <f>IF(OR(ISTEXT(B46),B46=0),Summary!$E$1-7,B46-MOD(B46-Summary!$E$1,7))</f>
        <v>43580</v>
      </c>
      <c r="C49" s="283">
        <f>IF(OR(ISTEXT(C46),C46=0),Summary!$E$1-7,C46-MOD(C46-Summary!$E$1,7))</f>
        <v>43580</v>
      </c>
      <c r="D49" s="283">
        <f>IF(OR(ISTEXT(D46),D46=0),Summary!$E$1-7,D46-MOD(D46-Summary!$E$1,7))</f>
        <v>43580</v>
      </c>
      <c r="E49" s="283">
        <f>IF(OR(ISTEXT(E46),E46=0),Summary!$E$1-7,E46-MOD(E46-Summary!$E$1,7))</f>
        <v>43580</v>
      </c>
      <c r="F49" s="283">
        <f>IF(OR(ISTEXT(F46),F46=0),Summary!$E$1-7,F46-MOD(F46-Summary!$E$1,7))</f>
        <v>43580</v>
      </c>
      <c r="G49" s="283">
        <f>IF(OR(ISTEXT(G46),G46=0),Summary!$E$1-7,G46-MOD(G46-Summary!$E$1,7))</f>
        <v>43580</v>
      </c>
      <c r="H49" s="9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830"/>
      <c r="V49" s="830"/>
      <c r="W49" s="70"/>
      <c r="X49" s="70"/>
      <c r="Y49" s="70"/>
    </row>
    <row r="50" spans="1:27" hidden="1">
      <c r="A50" s="276" t="s">
        <v>129</v>
      </c>
      <c r="B50" s="275"/>
      <c r="C50" s="275"/>
      <c r="D50" s="275"/>
      <c r="E50" s="275"/>
      <c r="F50" s="275"/>
      <c r="G50" s="275"/>
      <c r="H50" s="9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830"/>
      <c r="V50" s="830"/>
      <c r="W50" s="70"/>
      <c r="X50" s="70"/>
      <c r="Y50" s="70"/>
    </row>
    <row r="51" spans="1:27" ht="7.5" hidden="1" thickBot="1">
      <c r="A51" s="276" t="s">
        <v>130</v>
      </c>
      <c r="B51" s="275">
        <f t="shared" ref="B51:G51" si="8">IF(ISERROR(B46-A46),0,IF(OR(B46-A46&lt;7,LEN(B45)&gt;6),0,1))</f>
        <v>0</v>
      </c>
      <c r="C51" s="275">
        <f t="shared" si="8"/>
        <v>0</v>
      </c>
      <c r="D51" s="275">
        <f t="shared" si="8"/>
        <v>0</v>
      </c>
      <c r="E51" s="275">
        <f t="shared" si="8"/>
        <v>0</v>
      </c>
      <c r="F51" s="275">
        <f t="shared" si="8"/>
        <v>0</v>
      </c>
      <c r="G51" s="275">
        <f t="shared" si="8"/>
        <v>0</v>
      </c>
      <c r="H51" s="9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830"/>
      <c r="V51" s="830"/>
      <c r="W51" s="70"/>
      <c r="X51" s="70"/>
      <c r="Y51" s="70"/>
    </row>
    <row r="52" spans="1:27" ht="11.5" hidden="1" thickTop="1" thickBot="1">
      <c r="A52" s="68" t="s">
        <v>16</v>
      </c>
      <c r="H52" s="9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830"/>
      <c r="V52" s="830"/>
      <c r="W52" s="70"/>
      <c r="X52" s="70"/>
      <c r="Y52" s="70"/>
      <c r="AA52" s="90"/>
    </row>
    <row r="53" spans="1:27" s="76" customFormat="1" ht="7.5" hidden="1" thickTop="1">
      <c r="A53" s="166" t="s">
        <v>25</v>
      </c>
      <c r="B53" s="143"/>
      <c r="C53" s="143"/>
      <c r="D53" s="143"/>
      <c r="E53" s="143"/>
      <c r="F53" s="143"/>
      <c r="G53" s="143"/>
      <c r="H53" s="119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830"/>
      <c r="V53" s="830"/>
      <c r="W53" s="116"/>
      <c r="X53" s="116"/>
      <c r="Y53" s="116"/>
      <c r="AA53" s="116"/>
    </row>
    <row r="54" spans="1:27" s="76" customFormat="1" hidden="1">
      <c r="A54" s="155" t="s">
        <v>26</v>
      </c>
      <c r="B54" s="144"/>
      <c r="C54" s="144"/>
      <c r="D54" s="144"/>
      <c r="E54" s="144"/>
      <c r="F54" s="144"/>
      <c r="G54" s="144"/>
      <c r="H54" s="119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830"/>
      <c r="V54" s="830"/>
      <c r="W54" s="116"/>
      <c r="X54" s="116"/>
      <c r="Y54" s="116"/>
      <c r="AA54" s="116"/>
    </row>
    <row r="55" spans="1:27" s="76" customFormat="1" ht="7.5" hidden="1" thickBot="1">
      <c r="A55" s="156" t="s">
        <v>29</v>
      </c>
      <c r="B55" s="144"/>
      <c r="C55" s="144"/>
      <c r="D55" s="144"/>
      <c r="E55" s="144"/>
      <c r="F55" s="144"/>
      <c r="G55" s="144"/>
      <c r="H55" s="119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830"/>
      <c r="V55" s="830"/>
      <c r="W55" s="116"/>
      <c r="X55" s="116"/>
      <c r="Y55" s="116"/>
      <c r="AA55" s="69"/>
    </row>
    <row r="56" spans="1:27" s="48" customFormat="1" ht="11.5" hidden="1" thickTop="1" thickBot="1">
      <c r="A56" s="115" t="s">
        <v>73</v>
      </c>
      <c r="B56" s="79">
        <f t="shared" ref="B56:G56" si="9">SUM(B53:B55)</f>
        <v>0</v>
      </c>
      <c r="C56" s="82">
        <f t="shared" si="9"/>
        <v>0</v>
      </c>
      <c r="D56" s="82">
        <f t="shared" si="9"/>
        <v>0</v>
      </c>
      <c r="E56" s="82">
        <f t="shared" si="9"/>
        <v>0</v>
      </c>
      <c r="F56" s="82">
        <f t="shared" si="9"/>
        <v>0</v>
      </c>
      <c r="G56" s="82">
        <f t="shared" si="9"/>
        <v>0</v>
      </c>
      <c r="H56" s="4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830"/>
      <c r="V56" s="830"/>
      <c r="W56" s="69"/>
      <c r="X56" s="69"/>
      <c r="Y56" s="69"/>
      <c r="AA56" s="109"/>
    </row>
    <row r="57" spans="1:27" ht="11.5" hidden="1" thickTop="1" thickBot="1">
      <c r="A57" s="11" t="s">
        <v>75</v>
      </c>
      <c r="B57" s="3" t="s">
        <v>117</v>
      </c>
      <c r="C57" s="3" t="s">
        <v>117</v>
      </c>
      <c r="D57" s="3" t="s">
        <v>117</v>
      </c>
      <c r="E57" s="3" t="s">
        <v>117</v>
      </c>
      <c r="F57" s="3" t="s">
        <v>117</v>
      </c>
      <c r="G57" s="3" t="s">
        <v>117</v>
      </c>
      <c r="H57" s="9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830"/>
      <c r="V57" s="830"/>
      <c r="W57" s="70"/>
      <c r="X57" s="70"/>
      <c r="Y57" s="70"/>
      <c r="AA57" s="116"/>
    </row>
    <row r="58" spans="1:27" s="76" customFormat="1" ht="7.5" hidden="1" thickTop="1">
      <c r="A58" s="166" t="s">
        <v>39</v>
      </c>
      <c r="B58" s="143"/>
      <c r="C58" s="143"/>
      <c r="D58" s="143"/>
      <c r="E58" s="143"/>
      <c r="F58" s="143"/>
      <c r="G58" s="143"/>
      <c r="H58" s="119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830"/>
      <c r="V58" s="830"/>
      <c r="W58" s="116"/>
      <c r="X58" s="116"/>
      <c r="Y58" s="116"/>
      <c r="AA58" s="116"/>
    </row>
    <row r="59" spans="1:27" s="76" customFormat="1" hidden="1">
      <c r="A59" s="155" t="s">
        <v>40</v>
      </c>
      <c r="B59" s="144"/>
      <c r="C59" s="144"/>
      <c r="D59" s="144"/>
      <c r="E59" s="144"/>
      <c r="F59" s="144"/>
      <c r="G59" s="144"/>
      <c r="H59" s="119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830"/>
      <c r="V59" s="830"/>
      <c r="W59" s="116"/>
      <c r="X59" s="116"/>
      <c r="Y59" s="116"/>
      <c r="AA59" s="116"/>
    </row>
    <row r="60" spans="1:27" s="76" customFormat="1" hidden="1">
      <c r="A60" s="155" t="s">
        <v>41</v>
      </c>
      <c r="B60" s="144"/>
      <c r="C60" s="144"/>
      <c r="D60" s="144"/>
      <c r="E60" s="144"/>
      <c r="F60" s="144"/>
      <c r="G60" s="144"/>
      <c r="H60" s="119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830"/>
      <c r="V60" s="830"/>
      <c r="W60" s="116"/>
      <c r="X60" s="116"/>
      <c r="Y60" s="116"/>
      <c r="AA60" s="116"/>
    </row>
    <row r="61" spans="1:27" s="76" customFormat="1" hidden="1">
      <c r="A61" s="157" t="s">
        <v>43</v>
      </c>
      <c r="B61" s="144"/>
      <c r="C61" s="144"/>
      <c r="D61" s="144"/>
      <c r="E61" s="144"/>
      <c r="F61" s="144"/>
      <c r="G61" s="144"/>
      <c r="H61" s="119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830"/>
      <c r="V61" s="830"/>
      <c r="W61" s="116"/>
      <c r="X61" s="116"/>
      <c r="Y61" s="116"/>
      <c r="AA61" s="116"/>
    </row>
    <row r="62" spans="1:27" s="76" customFormat="1" hidden="1">
      <c r="A62" s="168" t="s">
        <v>44</v>
      </c>
      <c r="B62" s="152">
        <f t="shared" ref="B62:G62" si="10">SUM(B58:B61)</f>
        <v>0</v>
      </c>
      <c r="C62" s="152">
        <f t="shared" si="10"/>
        <v>0</v>
      </c>
      <c r="D62" s="152">
        <f t="shared" si="10"/>
        <v>0</v>
      </c>
      <c r="E62" s="152">
        <f t="shared" si="10"/>
        <v>0</v>
      </c>
      <c r="F62" s="152">
        <f t="shared" si="10"/>
        <v>0</v>
      </c>
      <c r="G62" s="152">
        <f t="shared" si="10"/>
        <v>0</v>
      </c>
      <c r="H62" s="119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830"/>
      <c r="V62" s="830"/>
      <c r="W62" s="116"/>
      <c r="X62" s="116"/>
      <c r="Y62" s="116"/>
      <c r="AA62" s="116"/>
    </row>
    <row r="63" spans="1:27" s="76" customFormat="1" ht="7.5" hidden="1" thickBot="1">
      <c r="A63" s="172" t="s">
        <v>90</v>
      </c>
      <c r="B63" s="190"/>
      <c r="C63" s="146"/>
      <c r="D63" s="146"/>
      <c r="E63" s="146"/>
      <c r="F63" s="146"/>
      <c r="G63" s="146"/>
      <c r="H63" s="119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830"/>
      <c r="V63" s="830"/>
      <c r="W63" s="116"/>
      <c r="X63" s="116"/>
      <c r="Y63" s="116"/>
      <c r="AA63" s="69"/>
    </row>
    <row r="64" spans="1:27" s="48" customFormat="1" ht="11.5" hidden="1" thickTop="1" thickBot="1">
      <c r="A64" s="94" t="s">
        <v>76</v>
      </c>
      <c r="B64" s="69"/>
      <c r="C64" s="69"/>
      <c r="D64" s="69"/>
      <c r="E64" s="69"/>
      <c r="F64" s="69"/>
      <c r="G64" s="69"/>
      <c r="H64" s="4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830"/>
      <c r="V64" s="830"/>
      <c r="W64" s="69"/>
      <c r="X64" s="69"/>
      <c r="Y64" s="69"/>
      <c r="AA64" s="116"/>
    </row>
    <row r="65" spans="1:29" s="76" customFormat="1" ht="7.5" hidden="1" thickTop="1">
      <c r="A65" s="166" t="s">
        <v>49</v>
      </c>
      <c r="B65" s="142"/>
      <c r="C65" s="143"/>
      <c r="D65" s="143"/>
      <c r="E65" s="143"/>
      <c r="F65" s="143"/>
      <c r="G65" s="143"/>
      <c r="H65" s="119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830"/>
      <c r="V65" s="830"/>
      <c r="W65" s="116"/>
      <c r="X65" s="116"/>
      <c r="Y65" s="116"/>
      <c r="AA65" s="116"/>
    </row>
    <row r="66" spans="1:29" s="76" customFormat="1" hidden="1">
      <c r="A66" s="155" t="s">
        <v>50</v>
      </c>
      <c r="B66" s="119"/>
      <c r="C66" s="144"/>
      <c r="D66" s="144"/>
      <c r="E66" s="144"/>
      <c r="F66" s="144"/>
      <c r="G66" s="144"/>
      <c r="H66" s="119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830"/>
      <c r="V66" s="830"/>
      <c r="W66" s="116"/>
      <c r="X66" s="116"/>
      <c r="Y66" s="116"/>
      <c r="AA66" s="116"/>
    </row>
    <row r="67" spans="1:29" s="76" customFormat="1" hidden="1">
      <c r="A67" s="155" t="s">
        <v>54</v>
      </c>
      <c r="B67" s="119"/>
      <c r="C67" s="144"/>
      <c r="D67" s="144"/>
      <c r="E67" s="144"/>
      <c r="F67" s="144"/>
      <c r="G67" s="144"/>
      <c r="H67" s="119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830"/>
      <c r="V67" s="830"/>
      <c r="W67" s="116"/>
      <c r="X67" s="116"/>
      <c r="Y67" s="116"/>
      <c r="AA67" s="116"/>
    </row>
    <row r="68" spans="1:29" s="76" customFormat="1" hidden="1">
      <c r="A68" s="157" t="s">
        <v>51</v>
      </c>
      <c r="B68" s="191"/>
      <c r="C68" s="192"/>
      <c r="D68" s="192"/>
      <c r="E68" s="192"/>
      <c r="F68" s="192"/>
      <c r="G68" s="192"/>
      <c r="H68" s="119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830"/>
      <c r="V68" s="830"/>
      <c r="W68" s="116"/>
      <c r="X68" s="116"/>
      <c r="Y68" s="116"/>
      <c r="AA68" s="116"/>
    </row>
    <row r="69" spans="1:29" s="76" customFormat="1" ht="7.5" hidden="1" thickBot="1">
      <c r="A69" s="168" t="s">
        <v>77</v>
      </c>
      <c r="B69" s="117">
        <f t="shared" ref="B69:G69" si="11">SUM(B65:B68)</f>
        <v>0</v>
      </c>
      <c r="C69" s="117">
        <f t="shared" si="11"/>
        <v>0</v>
      </c>
      <c r="D69" s="117">
        <f t="shared" si="11"/>
        <v>0</v>
      </c>
      <c r="E69" s="117">
        <f t="shared" si="11"/>
        <v>0</v>
      </c>
      <c r="F69" s="117">
        <f t="shared" si="11"/>
        <v>0</v>
      </c>
      <c r="G69" s="116">
        <f t="shared" si="11"/>
        <v>0</v>
      </c>
      <c r="H69" s="119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830"/>
      <c r="V69" s="830"/>
      <c r="W69" s="116"/>
      <c r="X69" s="116"/>
      <c r="Y69" s="116"/>
      <c r="AA69" s="116"/>
    </row>
    <row r="70" spans="1:29" s="76" customFormat="1" ht="11.5" hidden="1" thickTop="1" thickBot="1">
      <c r="A70" s="175" t="s">
        <v>55</v>
      </c>
      <c r="B70" s="80">
        <f t="shared" ref="B70:G70" si="12">SUM(B63:B68)+B62</f>
        <v>0</v>
      </c>
      <c r="C70" s="176">
        <f t="shared" si="12"/>
        <v>0</v>
      </c>
      <c r="D70" s="176">
        <f t="shared" si="12"/>
        <v>0</v>
      </c>
      <c r="E70" s="176">
        <f t="shared" si="12"/>
        <v>0</v>
      </c>
      <c r="F70" s="176">
        <f t="shared" si="12"/>
        <v>0</v>
      </c>
      <c r="G70" s="176">
        <f t="shared" si="12"/>
        <v>0</v>
      </c>
      <c r="H70" s="119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830"/>
      <c r="V70" s="830"/>
      <c r="W70" s="116"/>
      <c r="X70" s="116"/>
      <c r="Y70" s="116"/>
      <c r="AA70" s="109"/>
    </row>
    <row r="71" spans="1:29" s="76" customFormat="1" ht="8" hidden="1" thickTop="1" thickBot="1">
      <c r="A71" s="306" t="s">
        <v>139</v>
      </c>
      <c r="B71" s="317">
        <f t="shared" ref="B71:G71" si="13">B56-B70</f>
        <v>0</v>
      </c>
      <c r="C71" s="143">
        <f t="shared" si="13"/>
        <v>0</v>
      </c>
      <c r="D71" s="143">
        <f t="shared" si="13"/>
        <v>0</v>
      </c>
      <c r="E71" s="143">
        <f t="shared" si="13"/>
        <v>0</v>
      </c>
      <c r="F71" s="143">
        <f t="shared" si="13"/>
        <v>0</v>
      </c>
      <c r="G71" s="143">
        <f t="shared" si="13"/>
        <v>0</v>
      </c>
      <c r="H71" s="119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830"/>
      <c r="V71" s="830"/>
      <c r="W71" s="116"/>
      <c r="X71" s="116"/>
      <c r="Y71" s="116"/>
      <c r="AA71" s="109"/>
    </row>
    <row r="72" spans="1:29" s="210" customFormat="1" ht="8" hidden="1" thickTop="1" thickBot="1">
      <c r="A72" s="96" t="s">
        <v>78</v>
      </c>
      <c r="B72" s="207" t="str">
        <f t="shared" ref="B72:G72" si="14">IF(B71=0,"","post bal.")</f>
        <v/>
      </c>
      <c r="C72" s="207" t="str">
        <f t="shared" si="14"/>
        <v/>
      </c>
      <c r="D72" s="207" t="str">
        <f t="shared" si="14"/>
        <v/>
      </c>
      <c r="E72" s="207" t="str">
        <f t="shared" si="14"/>
        <v/>
      </c>
      <c r="F72" s="207" t="str">
        <f t="shared" si="14"/>
        <v/>
      </c>
      <c r="G72" s="255" t="str">
        <f t="shared" si="14"/>
        <v/>
      </c>
      <c r="H72" s="234"/>
      <c r="I72" s="209"/>
      <c r="J72" s="209"/>
      <c r="K72" s="209"/>
      <c r="L72" s="209"/>
      <c r="M72" s="209"/>
      <c r="N72" s="209"/>
      <c r="O72" s="209"/>
      <c r="P72" s="209"/>
      <c r="Q72" s="209"/>
      <c r="R72" s="209"/>
      <c r="S72" s="209"/>
      <c r="T72" s="209"/>
      <c r="U72" s="830"/>
      <c r="V72" s="830"/>
      <c r="W72" s="209"/>
      <c r="X72" s="209"/>
      <c r="Y72" s="209"/>
      <c r="AA72" s="214">
        <f>SUM(B73:Y73)</f>
        <v>0</v>
      </c>
    </row>
    <row r="73" spans="1:29" s="76" customFormat="1" ht="7.5" hidden="1" thickTop="1">
      <c r="B73" s="75">
        <f t="shared" ref="B73:G73" si="15">IF(B72="post bal.",B71,0)</f>
        <v>0</v>
      </c>
      <c r="C73" s="75">
        <f t="shared" si="15"/>
        <v>0</v>
      </c>
      <c r="D73" s="75">
        <f t="shared" si="15"/>
        <v>0</v>
      </c>
      <c r="E73" s="75">
        <f t="shared" si="15"/>
        <v>0</v>
      </c>
      <c r="F73" s="75">
        <f t="shared" si="15"/>
        <v>0</v>
      </c>
      <c r="G73" s="75">
        <f t="shared" si="15"/>
        <v>0</v>
      </c>
      <c r="H73" s="116">
        <f t="shared" ref="H73:O73" si="16">IF(H72="post bal.",H70,0)</f>
        <v>0</v>
      </c>
      <c r="I73" s="116">
        <f t="shared" si="16"/>
        <v>0</v>
      </c>
      <c r="J73" s="116">
        <f t="shared" si="16"/>
        <v>0</v>
      </c>
      <c r="K73" s="116">
        <f t="shared" si="16"/>
        <v>0</v>
      </c>
      <c r="L73" s="116">
        <f t="shared" si="16"/>
        <v>0</v>
      </c>
      <c r="M73" s="116">
        <f t="shared" si="16"/>
        <v>0</v>
      </c>
      <c r="N73" s="116">
        <f t="shared" si="16"/>
        <v>0</v>
      </c>
      <c r="O73" s="116">
        <f t="shared" si="16"/>
        <v>0</v>
      </c>
      <c r="P73" s="116">
        <f>IF(P72="post bal.",P70,0)</f>
        <v>0</v>
      </c>
      <c r="Q73" s="116">
        <f>IF(Q72="post bal.",Q70,0)</f>
        <v>0</v>
      </c>
      <c r="R73" s="116">
        <f>IF(R72="post bal.",R70,0)</f>
        <v>0</v>
      </c>
      <c r="S73" s="116"/>
      <c r="T73" s="116"/>
      <c r="U73" s="830"/>
      <c r="V73" s="830"/>
      <c r="W73" s="116"/>
      <c r="X73" s="116"/>
      <c r="Y73" s="116"/>
      <c r="AA73" s="70"/>
      <c r="AB73" s="76" t="s">
        <v>70</v>
      </c>
      <c r="AC73" s="76" t="s">
        <v>70</v>
      </c>
    </row>
    <row r="74" spans="1:29" ht="7.5" hidden="1" thickTop="1">
      <c r="U74" s="830"/>
      <c r="V74" s="830"/>
      <c r="AA74" s="69"/>
    </row>
    <row r="75" spans="1:29" s="69" customFormat="1">
      <c r="U75" s="830"/>
      <c r="V75" s="830"/>
    </row>
    <row r="76" spans="1:29" s="69" customFormat="1">
      <c r="U76" s="830"/>
      <c r="V76" s="830"/>
    </row>
    <row r="77" spans="1:29" s="69" customFormat="1"/>
    <row r="78" spans="1:29" s="69" customFormat="1"/>
    <row r="79" spans="1:29" s="69" customFormat="1"/>
    <row r="80" spans="1:29" s="69" customFormat="1"/>
    <row r="81" s="69" customFormat="1"/>
    <row r="82" s="69" customFormat="1"/>
    <row r="83" s="69" customFormat="1"/>
    <row r="84" s="69" customFormat="1"/>
    <row r="85" s="69" customFormat="1"/>
    <row r="86" s="69" customFormat="1"/>
    <row r="87" s="69" customFormat="1"/>
    <row r="88" s="69" customFormat="1"/>
    <row r="89" s="69" customFormat="1"/>
    <row r="90" s="69" customFormat="1"/>
    <row r="91" s="69" customFormat="1"/>
    <row r="92" s="69" customFormat="1"/>
    <row r="93" s="69" customFormat="1"/>
    <row r="94" s="69" customFormat="1"/>
    <row r="95" s="69" customFormat="1"/>
    <row r="96" s="69" customFormat="1"/>
    <row r="97" spans="27:27" s="69" customFormat="1"/>
    <row r="98" spans="27:27" s="69" customFormat="1"/>
    <row r="99" spans="27:27" s="69" customFormat="1"/>
    <row r="100" spans="27:27" s="69" customFormat="1"/>
    <row r="101" spans="27:27" s="69" customFormat="1"/>
    <row r="102" spans="27:27" s="69" customFormat="1"/>
    <row r="103" spans="27:27" s="69" customFormat="1"/>
    <row r="104" spans="27:27" s="69" customFormat="1"/>
    <row r="105" spans="27:27" s="69" customFormat="1"/>
    <row r="106" spans="27:27" s="69" customFormat="1"/>
    <row r="107" spans="27:27" s="69" customFormat="1"/>
    <row r="108" spans="27:27" s="69" customFormat="1"/>
    <row r="109" spans="27:27" s="69" customFormat="1">
      <c r="AA109" s="70"/>
    </row>
    <row r="110" spans="27:27" s="69" customFormat="1">
      <c r="AA110" s="70"/>
    </row>
    <row r="111" spans="27:27" s="69" customFormat="1">
      <c r="AA111" s="70"/>
    </row>
    <row r="112" spans="27:27" s="70" customFormat="1">
      <c r="AA112" s="165"/>
    </row>
    <row r="113" spans="5:27" s="70" customFormat="1">
      <c r="AA113" s="69"/>
    </row>
    <row r="114" spans="5:27" s="70" customFormat="1"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AA114" s="69"/>
    </row>
    <row r="115" spans="5:27" s="70" customFormat="1">
      <c r="E115" s="165"/>
      <c r="F115" s="165"/>
      <c r="G115" s="165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  <c r="W115" s="165"/>
      <c r="X115" s="165"/>
      <c r="Y115" s="165"/>
      <c r="AA115" s="69"/>
    </row>
    <row r="116" spans="5:27" s="69" customFormat="1"/>
    <row r="117" spans="5:27" s="69" customFormat="1"/>
    <row r="118" spans="5:27" s="69" customFormat="1"/>
    <row r="119" spans="5:27" s="69" customFormat="1"/>
    <row r="120" spans="5:27" s="69" customFormat="1"/>
    <row r="121" spans="5:27" s="69" customFormat="1"/>
    <row r="122" spans="5:27" s="69" customFormat="1"/>
    <row r="123" spans="5:27" s="69" customFormat="1"/>
    <row r="124" spans="5:27" s="69" customFormat="1"/>
    <row r="125" spans="5:27" s="69" customFormat="1"/>
    <row r="126" spans="5:27" s="69" customFormat="1"/>
    <row r="127" spans="5:27" s="69" customFormat="1"/>
    <row r="128" spans="5:27" s="69" customFormat="1"/>
    <row r="129" spans="27:27" s="69" customFormat="1"/>
    <row r="130" spans="27:27" s="69" customFormat="1"/>
    <row r="131" spans="27:27" s="69" customFormat="1"/>
    <row r="132" spans="27:27" s="69" customFormat="1"/>
    <row r="133" spans="27:27" s="69" customFormat="1"/>
    <row r="134" spans="27:27" s="69" customFormat="1"/>
    <row r="135" spans="27:27" s="69" customFormat="1"/>
    <row r="136" spans="27:27" s="69" customFormat="1"/>
    <row r="137" spans="27:27" s="69" customFormat="1"/>
    <row r="138" spans="27:27" s="69" customFormat="1"/>
    <row r="139" spans="27:27" s="69" customFormat="1"/>
    <row r="140" spans="27:27" s="69" customFormat="1"/>
    <row r="141" spans="27:27" s="69" customFormat="1">
      <c r="AA141" s="70"/>
    </row>
    <row r="142" spans="27:27" s="69" customFormat="1">
      <c r="AA142" s="70"/>
    </row>
    <row r="143" spans="27:27" s="69" customFormat="1">
      <c r="AA143" s="70"/>
    </row>
    <row r="144" spans="27:27" s="70" customFormat="1"/>
    <row r="145" spans="6:27" s="70" customFormat="1">
      <c r="AA145" s="69"/>
    </row>
    <row r="146" spans="6:27" s="70" customFormat="1">
      <c r="AA146" s="69"/>
    </row>
    <row r="147" spans="6:27" s="70" customFormat="1">
      <c r="F147" s="90"/>
      <c r="G147" s="90"/>
      <c r="H147" s="90"/>
      <c r="I147" s="90"/>
      <c r="J147" s="90"/>
      <c r="K147" s="90"/>
      <c r="L147" s="90"/>
      <c r="M147" s="90"/>
      <c r="N147" s="90"/>
      <c r="O147" s="90"/>
      <c r="AA147" s="69"/>
    </row>
    <row r="148" spans="6:27" s="69" customFormat="1"/>
    <row r="149" spans="6:27" s="69" customFormat="1"/>
    <row r="150" spans="6:27" s="69" customFormat="1"/>
    <row r="151" spans="6:27" s="69" customFormat="1"/>
    <row r="152" spans="6:27" s="69" customFormat="1"/>
    <row r="153" spans="6:27" s="69" customFormat="1"/>
    <row r="154" spans="6:27" s="69" customFormat="1"/>
    <row r="155" spans="6:27" s="69" customFormat="1"/>
    <row r="156" spans="6:27" s="69" customFormat="1"/>
    <row r="157" spans="6:27" s="69" customFormat="1"/>
    <row r="158" spans="6:27" s="69" customFormat="1">
      <c r="AA158" s="70"/>
    </row>
    <row r="159" spans="6:27" s="69" customFormat="1">
      <c r="AA159" s="70"/>
    </row>
    <row r="160" spans="6:27" s="69" customFormat="1">
      <c r="AA160" s="70"/>
    </row>
    <row r="161" s="70" customFormat="1"/>
    <row r="162" s="70" customFormat="1"/>
    <row r="163" s="70" customFormat="1"/>
    <row r="164" s="70" customFormat="1"/>
    <row r="165" s="70" customFormat="1"/>
    <row r="166" s="70" customFormat="1"/>
    <row r="167" s="70" customFormat="1"/>
    <row r="168" s="70" customFormat="1"/>
    <row r="169" s="70" customFormat="1"/>
    <row r="170" s="70" customFormat="1"/>
    <row r="171" s="70" customFormat="1"/>
    <row r="172" s="70" customFormat="1"/>
    <row r="173" s="70" customFormat="1"/>
    <row r="174" s="70" customFormat="1"/>
    <row r="175" s="70" customFormat="1"/>
    <row r="176" s="70" customFormat="1"/>
    <row r="177" s="70" customFormat="1"/>
    <row r="178" s="70" customFormat="1"/>
    <row r="179" s="70" customFormat="1"/>
  </sheetData>
  <phoneticPr fontId="9" type="noConversion"/>
  <pageMargins left="0.35433070866141736" right="0.35433070866141736" top="0.27559055118110237" bottom="0.27559055118110237" header="0" footer="0.27559055118110237"/>
  <pageSetup paperSize="9" scale="110" orientation="portrait" horizontalDpi="720" verticalDpi="720" r:id="rId1"/>
  <headerFooter alignWithMargins="0"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BT86"/>
  <sheetViews>
    <sheetView showZeros="0" topLeftCell="A16" workbookViewId="0">
      <pane xSplit="1" topLeftCell="B1" activePane="topRight" state="frozen"/>
      <selection activeCell="R6" sqref="R6"/>
      <selection pane="topRight" activeCell="BZ84" sqref="BZ84"/>
    </sheetView>
  </sheetViews>
  <sheetFormatPr defaultRowHeight="7"/>
  <cols>
    <col min="1" max="1" width="51" style="130" customWidth="1"/>
    <col min="2" max="2" width="10.83203125" hidden="1" customWidth="1"/>
    <col min="3" max="4" width="11" hidden="1" customWidth="1"/>
    <col min="5" max="5" width="11" customWidth="1"/>
    <col min="6" max="7" width="10.83203125" hidden="1" customWidth="1"/>
    <col min="8" max="8" width="10.83203125" customWidth="1"/>
    <col min="9" max="9" width="10.83203125" hidden="1" customWidth="1"/>
    <col min="10" max="11" width="10.83203125" customWidth="1"/>
    <col min="12" max="20" width="10.83203125" hidden="1" customWidth="1"/>
    <col min="21" max="21" width="10.83203125" customWidth="1"/>
    <col min="22" max="32" width="10.83203125" hidden="1" customWidth="1"/>
    <col min="33" max="33" width="10.83203125" customWidth="1"/>
    <col min="34" max="43" width="10.83203125" hidden="1" customWidth="1"/>
    <col min="44" max="44" width="10.83203125" customWidth="1"/>
    <col min="45" max="54" width="10.83203125" hidden="1" customWidth="1"/>
    <col min="55" max="55" width="10.83203125" customWidth="1"/>
    <col min="56" max="68" width="10.83203125" hidden="1" customWidth="1"/>
    <col min="69" max="69" width="11" hidden="1" customWidth="1"/>
    <col min="70" max="70" width="1.83203125" style="126" customWidth="1"/>
  </cols>
  <sheetData>
    <row r="1" spans="1:72" s="1" customFormat="1" ht="35">
      <c r="A1" s="220" t="str">
        <f>Summary!$A$2</f>
        <v>OLYMPIC ACCOUNTS</v>
      </c>
      <c r="AD1" s="70"/>
      <c r="AE1" s="70"/>
      <c r="AF1" s="70"/>
      <c r="AG1" s="70"/>
      <c r="AH1" s="70"/>
      <c r="AI1" s="70"/>
      <c r="AJ1" s="70"/>
      <c r="AK1" s="70"/>
      <c r="AL1" s="70"/>
      <c r="AP1" s="70"/>
      <c r="AQ1" s="70"/>
      <c r="AR1" s="70"/>
      <c r="BR1" s="821" t="str">
        <f>Summary!$T$2</f>
        <v>23 January 2020</v>
      </c>
    </row>
    <row r="2" spans="1:72" s="1" customFormat="1" ht="27.5">
      <c r="A2" s="224" t="s">
        <v>106</v>
      </c>
      <c r="S2" s="222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</row>
    <row r="3" spans="1:72" s="1" customFormat="1" ht="34.5" customHeight="1" thickBot="1">
      <c r="A3" s="441"/>
      <c r="H3" s="221"/>
      <c r="S3" s="222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</row>
    <row r="4" spans="1:72" s="241" customFormat="1" ht="11" thickTop="1">
      <c r="A4" s="242" t="s">
        <v>50</v>
      </c>
      <c r="B4" s="18" t="str">
        <f>MAINTENANCE!C3</f>
        <v>Insurance</v>
      </c>
      <c r="C4" s="13" t="str">
        <f>MAINTENANCE!D3</f>
        <v>Licence</v>
      </c>
      <c r="D4" s="18" t="str">
        <f>MAINTENANCE!E3</f>
        <v>Mooring</v>
      </c>
      <c r="E4" s="18" t="str">
        <f>MAINTENANCE!F3</f>
        <v>PB</v>
      </c>
      <c r="F4" s="18" t="str">
        <f>MAINTENANCE!G3</f>
        <v>JGB</v>
      </c>
      <c r="G4" s="18" t="str">
        <f>MAINTENANCE!H3</f>
        <v>CJ/DJ</v>
      </c>
      <c r="H4" s="18" t="str">
        <f>MAINTENANCE!I3</f>
        <v>Atlass</v>
      </c>
      <c r="I4" s="18" t="str">
        <f>MAINTENANCE!J3</f>
        <v>Atlass</v>
      </c>
      <c r="J4" s="18" t="str">
        <f>MAINTENANCE!K3</f>
        <v>Faulkner</v>
      </c>
      <c r="K4" s="18" t="str">
        <f>MAINTENANCE!L3</f>
        <v>PB</v>
      </c>
      <c r="L4" s="18" t="str">
        <f>MAINTENANCE!M3</f>
        <v>PB</v>
      </c>
      <c r="M4" s="18" t="str">
        <f>MAINTENANCE!N3</f>
        <v>DJB</v>
      </c>
      <c r="N4" s="18" t="str">
        <f>MAINTENANCE!O3</f>
        <v>unscheduled</v>
      </c>
      <c r="O4" s="18" t="str">
        <f>MAINTENANCE!P3</f>
        <v>unscheduled</v>
      </c>
      <c r="P4" s="18" t="str">
        <f>MAINTENANCE!Q3</f>
        <v>unscheduled</v>
      </c>
      <c r="Q4" s="18" t="str">
        <f>MAINTENANCE!R3</f>
        <v>unscheduled</v>
      </c>
      <c r="R4" s="18" t="str">
        <f>MAINTENANCE!S3</f>
        <v>unscheduled</v>
      </c>
      <c r="S4" s="18" t="str">
        <f>MAINTENANCE!T3</f>
        <v>unscheduled</v>
      </c>
      <c r="T4" s="18" t="str">
        <f>MAINTENANCE!U3</f>
        <v>unscheduled</v>
      </c>
      <c r="U4" s="18" t="str">
        <f>MAINTENANCE!V3</f>
        <v>JGC</v>
      </c>
      <c r="V4" s="18" t="str">
        <f>MAINTENANCE!W3</f>
        <v>unscheduled</v>
      </c>
      <c r="W4" s="18" t="str">
        <f>MAINTENANCE!X3</f>
        <v>unscheduled</v>
      </c>
      <c r="X4" s="18" t="str">
        <f>MAINTENANCE!Y3</f>
        <v>unscheduled</v>
      </c>
      <c r="Y4" s="18" t="str">
        <f>MAINTENANCE!Z3</f>
        <v>D Kee</v>
      </c>
      <c r="Z4" s="18" t="str">
        <f>MAINTENANCE!AA3</f>
        <v>unscheduled</v>
      </c>
      <c r="AA4" s="18" t="str">
        <f>MAINTENANCE!AB3</f>
        <v>unscheduled</v>
      </c>
      <c r="AB4" s="18" t="str">
        <f>MAINTENANCE!AC3</f>
        <v>unscheduled</v>
      </c>
      <c r="AC4" s="18" t="str">
        <f>MAINTENANCE!AD3</f>
        <v>PB</v>
      </c>
      <c r="AD4" s="18" t="str">
        <f>MAINTENANCE!AE3</f>
        <v>Atlass</v>
      </c>
      <c r="AE4" s="18" t="str">
        <f>MAINTENANCE!AF3</f>
        <v>CJ?DJ</v>
      </c>
      <c r="AF4" s="18" t="str">
        <f>MAINTENANCE!AG3</f>
        <v>unscheduled</v>
      </c>
      <c r="AG4" s="18" t="str">
        <f>MAINTENANCE!AH3</f>
        <v>PB</v>
      </c>
      <c r="AH4" s="18" t="str">
        <f>MAINTENANCE!AI3</f>
        <v>CJ/DJ</v>
      </c>
      <c r="AI4" s="18" t="str">
        <f>MAINTENANCE!AJ3</f>
        <v>Fisher</v>
      </c>
      <c r="AJ4" s="18" t="str">
        <f>MAINTENANCE!AK3</f>
        <v>unscheduled</v>
      </c>
      <c r="AK4" s="18" t="str">
        <f>MAINTENANCE!AL3</f>
        <v>unscheduled</v>
      </c>
      <c r="AL4" s="18" t="str">
        <f>MAINTENANCE!AM3</f>
        <v>unscheduled</v>
      </c>
      <c r="AM4" s="18" t="str">
        <f>MAINTENANCE!AN3</f>
        <v>unscheduled</v>
      </c>
      <c r="AN4" s="18" t="str">
        <f>MAINTENANCE!AO3</f>
        <v>unscheduled</v>
      </c>
      <c r="AO4" s="18" t="str">
        <f>MAINTENANCE!AP3</f>
        <v>unscheduled</v>
      </c>
      <c r="AP4" s="18" t="str">
        <f>MAINTENANCE!AQ3</f>
        <v>unscheduled</v>
      </c>
      <c r="AQ4" s="18" t="str">
        <f>MAINTENANCE!AR3</f>
        <v>unscheduled</v>
      </c>
      <c r="AR4" s="18" t="str">
        <f>MAINTENANCE!AS3</f>
        <v>CJ/DJ</v>
      </c>
      <c r="AS4" s="18" t="str">
        <f>MAINTENANCE!AT3</f>
        <v>unscheduled</v>
      </c>
      <c r="AT4" s="18" t="str">
        <f>MAINTENANCE!AU3</f>
        <v>Atlass</v>
      </c>
      <c r="AU4" s="18" t="str">
        <f>MAINTENANCE!AV3</f>
        <v>unscheduled</v>
      </c>
      <c r="AV4" s="18" t="str">
        <f>MAINTENANCE!AW3</f>
        <v>unscheduled</v>
      </c>
      <c r="AW4" s="18" t="str">
        <f>MAINTENANCE!AX3</f>
        <v>unscheduled</v>
      </c>
      <c r="AX4" s="18" t="str">
        <f>MAINTENANCE!AY3</f>
        <v>unscheduled</v>
      </c>
      <c r="AY4" s="18" t="str">
        <f>MAINTENANCE!AZ3</f>
        <v>DJB</v>
      </c>
      <c r="AZ4" s="18" t="str">
        <f>MAINTENANCE!BA3</f>
        <v>unscheduled</v>
      </c>
      <c r="BA4" s="18" t="str">
        <f>MAINTENANCE!BB3</f>
        <v>unscheduled</v>
      </c>
      <c r="BB4" s="18" t="str">
        <f>MAINTENANCE!BC3</f>
        <v>unscheduled</v>
      </c>
      <c r="BC4" s="18" t="str">
        <f>MAINTENANCE!BD3</f>
        <v>D Kee</v>
      </c>
      <c r="BD4" s="18" t="str">
        <f>MAINTENANCE!BE3</f>
        <v>unscheduled</v>
      </c>
      <c r="BE4" s="18" t="str">
        <f>MAINTENANCE!BF3</f>
        <v>unscheduled</v>
      </c>
      <c r="BF4" s="18" t="str">
        <f>MAINTENANCE!BG3</f>
        <v>unscheduled</v>
      </c>
      <c r="BG4" s="18" t="str">
        <f>MAINTENANCE!BH3</f>
        <v>unscheduled</v>
      </c>
      <c r="BH4" s="18">
        <f>MAINTENANCE!BI3</f>
        <v>0</v>
      </c>
      <c r="BI4" s="18">
        <f>MAINTENANCE!BJ3</f>
        <v>0</v>
      </c>
      <c r="BJ4" s="18">
        <f>MAINTENANCE!BK3</f>
        <v>0</v>
      </c>
      <c r="BK4" s="18">
        <f>MAINTENANCE!BL3</f>
        <v>0</v>
      </c>
      <c r="BL4" s="18">
        <f>MAINTENANCE!BM3</f>
        <v>0</v>
      </c>
      <c r="BM4" s="18">
        <f>MAINTENANCE!BN3</f>
        <v>0</v>
      </c>
      <c r="BN4" s="18"/>
      <c r="BO4" s="18">
        <f>MAINTENANCE!BP3</f>
        <v>0</v>
      </c>
      <c r="BP4" s="18">
        <f>MAINTENANCE!BQ3</f>
        <v>0</v>
      </c>
      <c r="BQ4" s="18">
        <f>MAINTENANCE!BR3</f>
        <v>0</v>
      </c>
      <c r="BR4" s="65">
        <f>MAINTENANCE!BQ3</f>
        <v>0</v>
      </c>
      <c r="BS4" s="15"/>
      <c r="BT4" s="14"/>
    </row>
    <row r="5" spans="1:72" s="58" customFormat="1">
      <c r="A5" s="229"/>
      <c r="B5" s="230">
        <f>MAINTENANCE!C4</f>
        <v>43495</v>
      </c>
      <c r="C5" s="231">
        <f>MAINTENANCE!D4</f>
        <v>43719</v>
      </c>
      <c r="D5" s="230">
        <f>MAINTENANCE!E4</f>
        <v>0</v>
      </c>
      <c r="E5" s="230">
        <f>MAINTENANCE!F4</f>
        <v>43495</v>
      </c>
      <c r="F5" s="230">
        <f>MAINTENANCE!G4</f>
        <v>43539</v>
      </c>
      <c r="G5" s="230">
        <f>MAINTENANCE!H4</f>
        <v>43581</v>
      </c>
      <c r="H5" s="230">
        <f>MAINTENANCE!I4</f>
        <v>43584</v>
      </c>
      <c r="I5" s="230">
        <f>MAINTENANCE!J4</f>
        <v>43641</v>
      </c>
      <c r="J5" s="230">
        <f>MAINTENANCE!K4</f>
        <v>43810</v>
      </c>
      <c r="K5" s="230">
        <f>MAINTENANCE!L4</f>
        <v>43581</v>
      </c>
      <c r="L5" s="230">
        <f>MAINTENANCE!M4</f>
        <v>43806</v>
      </c>
      <c r="M5" s="230">
        <f>MAINTENANCE!N4</f>
        <v>43823</v>
      </c>
      <c r="N5" s="230" t="str">
        <f>MAINTENANCE!O4</f>
        <v xml:space="preserve"> </v>
      </c>
      <c r="O5" s="230" t="str">
        <f>MAINTENANCE!P4</f>
        <v xml:space="preserve"> </v>
      </c>
      <c r="P5" s="230" t="str">
        <f>MAINTENANCE!Q4</f>
        <v xml:space="preserve"> </v>
      </c>
      <c r="Q5" s="230" t="str">
        <f>MAINTENANCE!R4</f>
        <v xml:space="preserve"> </v>
      </c>
      <c r="R5" s="230" t="str">
        <f>MAINTENANCE!S4</f>
        <v xml:space="preserve"> </v>
      </c>
      <c r="S5" s="230" t="str">
        <f>MAINTENANCE!T4</f>
        <v xml:space="preserve"> </v>
      </c>
      <c r="T5" s="230">
        <f>MAINTENANCE!U4</f>
        <v>43587</v>
      </c>
      <c r="U5" s="230">
        <f>MAINTENANCE!V4</f>
        <v>43594</v>
      </c>
      <c r="V5" s="230">
        <f>MAINTENANCE!W4</f>
        <v>43601</v>
      </c>
      <c r="W5" s="230">
        <f>MAINTENANCE!X4</f>
        <v>43608</v>
      </c>
      <c r="X5" s="230">
        <f>MAINTENANCE!Y4</f>
        <v>43615</v>
      </c>
      <c r="Y5" s="230">
        <f>MAINTENANCE!Z4</f>
        <v>43622</v>
      </c>
      <c r="Z5" s="230">
        <f>MAINTENANCE!AA4</f>
        <v>43629</v>
      </c>
      <c r="AA5" s="230">
        <f>MAINTENANCE!AB4</f>
        <v>43636</v>
      </c>
      <c r="AB5" s="230">
        <f>MAINTENANCE!AC4</f>
        <v>43643</v>
      </c>
      <c r="AC5" s="230">
        <f>MAINTENANCE!AD4</f>
        <v>43650</v>
      </c>
      <c r="AD5" s="230">
        <f>MAINTENANCE!AE4</f>
        <v>43657</v>
      </c>
      <c r="AE5" s="230">
        <f>MAINTENANCE!AF4</f>
        <v>43664</v>
      </c>
      <c r="AF5" s="230">
        <f>MAINTENANCE!AG4</f>
        <v>43671</v>
      </c>
      <c r="AG5" s="230">
        <f>MAINTENANCE!AH4</f>
        <v>43678</v>
      </c>
      <c r="AH5" s="230">
        <f>MAINTENANCE!AI4</f>
        <v>43685</v>
      </c>
      <c r="AI5" s="230">
        <f>MAINTENANCE!AJ4</f>
        <v>43692</v>
      </c>
      <c r="AJ5" s="230">
        <f>MAINTENANCE!AK4</f>
        <v>43699</v>
      </c>
      <c r="AK5" s="230">
        <f>MAINTENANCE!AL4</f>
        <v>43706</v>
      </c>
      <c r="AL5" s="230">
        <f>MAINTENANCE!AM4</f>
        <v>43713</v>
      </c>
      <c r="AM5" s="230">
        <f>MAINTENANCE!AN4</f>
        <v>43720</v>
      </c>
      <c r="AN5" s="230">
        <f>MAINTENANCE!AO4</f>
        <v>43727</v>
      </c>
      <c r="AO5" s="230">
        <f>MAINTENANCE!AP4</f>
        <v>43705</v>
      </c>
      <c r="AP5" s="230">
        <f>MAINTENANCE!AQ4</f>
        <v>43712</v>
      </c>
      <c r="AQ5" s="230">
        <f>MAINTENANCE!AR4</f>
        <v>43719</v>
      </c>
      <c r="AR5" s="230">
        <f>MAINTENANCE!AS4</f>
        <v>43726</v>
      </c>
      <c r="AS5" s="230">
        <f>MAINTENANCE!AT4</f>
        <v>43733</v>
      </c>
      <c r="AT5" s="230">
        <f>MAINTENANCE!AU4</f>
        <v>43740</v>
      </c>
      <c r="AU5" s="230">
        <f>MAINTENANCE!AV4</f>
        <v>43747</v>
      </c>
      <c r="AV5" s="230">
        <f>MAINTENANCE!AW4</f>
        <v>43754</v>
      </c>
      <c r="AW5" s="230">
        <f>MAINTENANCE!AX4</f>
        <v>43761</v>
      </c>
      <c r="AX5" s="230">
        <f>MAINTENANCE!AY4</f>
        <v>43768</v>
      </c>
      <c r="AY5" s="230">
        <f>MAINTENANCE!AZ4</f>
        <v>43775</v>
      </c>
      <c r="AZ5" s="230">
        <f>MAINTENANCE!BA4</f>
        <v>43782</v>
      </c>
      <c r="BA5" s="230">
        <f>MAINTENANCE!BB4</f>
        <v>43789</v>
      </c>
      <c r="BB5" s="230">
        <f>MAINTENANCE!BC4</f>
        <v>43796</v>
      </c>
      <c r="BC5" s="230">
        <f>MAINTENANCE!BD4</f>
        <v>43823</v>
      </c>
      <c r="BD5" s="230">
        <f>MAINTENANCE!BE4</f>
        <v>43830</v>
      </c>
      <c r="BE5" s="230">
        <f>MAINTENANCE!BF4</f>
        <v>43837</v>
      </c>
      <c r="BF5" s="230">
        <f>MAINTENANCE!BG4</f>
        <v>43844</v>
      </c>
      <c r="BG5" s="230">
        <f>MAINTENANCE!BH4</f>
        <v>43851</v>
      </c>
      <c r="BH5" s="230">
        <f>MAINTENANCE!BI4</f>
        <v>0</v>
      </c>
      <c r="BI5" s="230">
        <f>MAINTENANCE!BJ4</f>
        <v>0</v>
      </c>
      <c r="BJ5" s="230">
        <f>MAINTENANCE!BK4</f>
        <v>0</v>
      </c>
      <c r="BK5" s="230">
        <f>MAINTENANCE!BL4</f>
        <v>0</v>
      </c>
      <c r="BL5" s="230">
        <f>MAINTENANCE!BM4</f>
        <v>0</v>
      </c>
      <c r="BM5" s="230">
        <f>MAINTENANCE!BN4</f>
        <v>0</v>
      </c>
      <c r="BN5" s="230">
        <f>MAINTENANCE!BO4</f>
        <v>0</v>
      </c>
      <c r="BO5" s="230">
        <f>MAINTENANCE!BP4</f>
        <v>0</v>
      </c>
      <c r="BP5" s="230">
        <f>MAINTENANCE!BQ4</f>
        <v>0</v>
      </c>
      <c r="BQ5" s="230">
        <f>MAINTENANCE!BR4</f>
        <v>0</v>
      </c>
      <c r="BR5" s="232">
        <f>MAINTENANCE!BQ4</f>
        <v>0</v>
      </c>
      <c r="BS5" s="182"/>
      <c r="BT5" s="245"/>
    </row>
    <row r="6" spans="1:72" s="487" customFormat="1">
      <c r="A6" s="548" t="s">
        <v>256</v>
      </c>
      <c r="B6" s="376"/>
      <c r="C6" s="378"/>
      <c r="D6" s="376"/>
      <c r="E6" s="376"/>
      <c r="F6" s="376"/>
      <c r="G6" s="376"/>
      <c r="H6" s="376"/>
      <c r="I6" s="376"/>
      <c r="J6" s="376"/>
      <c r="K6" s="376"/>
      <c r="L6" s="376"/>
      <c r="M6" s="376"/>
      <c r="N6" s="376"/>
      <c r="O6" s="376"/>
      <c r="P6" s="376"/>
      <c r="Q6" s="376"/>
      <c r="R6" s="376"/>
      <c r="S6" s="378"/>
      <c r="T6" s="378"/>
      <c r="U6" s="376">
        <v>95</v>
      </c>
      <c r="V6" s="376"/>
      <c r="W6" s="376"/>
      <c r="X6" s="376"/>
      <c r="Y6" s="376"/>
      <c r="Z6" s="376"/>
      <c r="AA6" s="376"/>
      <c r="AB6" s="376"/>
      <c r="AC6" s="376"/>
      <c r="AD6" s="376"/>
      <c r="AE6" s="376"/>
      <c r="AF6" s="376"/>
      <c r="AG6" s="376"/>
      <c r="AH6" s="376"/>
      <c r="AI6" s="376"/>
      <c r="AJ6" s="376"/>
      <c r="AK6" s="376"/>
      <c r="AL6" s="376"/>
      <c r="AM6" s="376"/>
      <c r="AN6" s="378"/>
      <c r="AO6" s="378"/>
      <c r="AP6" s="377"/>
      <c r="AQ6" s="376"/>
      <c r="AR6" s="376"/>
      <c r="AS6" s="376"/>
      <c r="AT6" s="376"/>
      <c r="AU6" s="376"/>
      <c r="AV6" s="376"/>
      <c r="AW6" s="376"/>
      <c r="AX6" s="376"/>
      <c r="AY6" s="376"/>
      <c r="AZ6" s="376"/>
      <c r="BA6" s="378"/>
      <c r="BB6" s="376"/>
      <c r="BC6" s="376"/>
      <c r="BD6" s="376"/>
      <c r="BE6" s="376"/>
      <c r="BF6" s="376"/>
      <c r="BG6" s="376"/>
      <c r="BH6" s="378"/>
      <c r="BI6" s="483"/>
      <c r="BJ6" s="483"/>
      <c r="BK6" s="483"/>
      <c r="BL6" s="483"/>
      <c r="BM6" s="483"/>
      <c r="BN6" s="483"/>
      <c r="BO6" s="483"/>
      <c r="BP6" s="483"/>
      <c r="BQ6" s="483"/>
      <c r="BR6" s="484"/>
      <c r="BS6" s="485"/>
      <c r="BT6" s="486">
        <f>SUM(B6:BR6)</f>
        <v>95</v>
      </c>
    </row>
    <row r="7" spans="1:72" s="487" customFormat="1">
      <c r="A7" s="548" t="s">
        <v>264</v>
      </c>
      <c r="B7" s="376"/>
      <c r="C7" s="378"/>
      <c r="D7" s="376"/>
      <c r="E7" s="376"/>
      <c r="F7" s="376"/>
      <c r="G7" s="376"/>
      <c r="H7" s="376"/>
      <c r="I7" s="376"/>
      <c r="J7" s="376"/>
      <c r="K7" s="376">
        <v>11.2</v>
      </c>
      <c r="L7" s="376"/>
      <c r="M7" s="376"/>
      <c r="N7" s="376"/>
      <c r="O7" s="376"/>
      <c r="P7" s="376"/>
      <c r="Q7" s="376"/>
      <c r="R7" s="376"/>
      <c r="S7" s="378"/>
      <c r="T7" s="378"/>
      <c r="U7" s="379"/>
      <c r="V7" s="376"/>
      <c r="W7" s="376"/>
      <c r="X7" s="376"/>
      <c r="Y7" s="376"/>
      <c r="Z7" s="376"/>
      <c r="AA7" s="376"/>
      <c r="AB7" s="376"/>
      <c r="AC7" s="376"/>
      <c r="AD7" s="376"/>
      <c r="AE7" s="376"/>
      <c r="AF7" s="376"/>
      <c r="AG7" s="376"/>
      <c r="AH7" s="376"/>
      <c r="AI7" s="376"/>
      <c r="AJ7" s="376"/>
      <c r="AK7" s="376"/>
      <c r="AL7" s="376"/>
      <c r="AM7" s="376"/>
      <c r="AN7" s="378"/>
      <c r="AO7" s="378"/>
      <c r="AP7" s="377"/>
      <c r="AQ7" s="376"/>
      <c r="AR7" s="376"/>
      <c r="AS7" s="376"/>
      <c r="AT7" s="376"/>
      <c r="AU7" s="376"/>
      <c r="AV7" s="376"/>
      <c r="AW7" s="376"/>
      <c r="AX7" s="376"/>
      <c r="AY7" s="376"/>
      <c r="AZ7" s="376"/>
      <c r="BA7" s="376"/>
      <c r="BB7" s="376"/>
      <c r="BC7" s="376"/>
      <c r="BD7" s="376"/>
      <c r="BE7" s="376"/>
      <c r="BF7" s="376"/>
      <c r="BG7" s="376"/>
      <c r="BH7" s="378"/>
      <c r="BI7" s="483"/>
      <c r="BJ7" s="483"/>
      <c r="BK7" s="483"/>
      <c r="BL7" s="483"/>
      <c r="BM7" s="483"/>
      <c r="BN7" s="483"/>
      <c r="BO7" s="483"/>
      <c r="BP7" s="483"/>
      <c r="BQ7" s="483"/>
      <c r="BR7" s="484"/>
      <c r="BS7" s="485"/>
      <c r="BT7" s="486">
        <f>SUM(B7:BR7)</f>
        <v>11.2</v>
      </c>
    </row>
    <row r="8" spans="1:72" s="487" customFormat="1">
      <c r="A8" s="548" t="s">
        <v>258</v>
      </c>
      <c r="B8" s="376"/>
      <c r="C8" s="378"/>
      <c r="D8" s="376"/>
      <c r="E8" s="376"/>
      <c r="F8" s="376"/>
      <c r="G8" s="376"/>
      <c r="H8" s="376">
        <v>100</v>
      </c>
      <c r="I8" s="376"/>
      <c r="J8" s="376"/>
      <c r="K8" s="376"/>
      <c r="L8" s="376"/>
      <c r="M8" s="376"/>
      <c r="N8" s="376"/>
      <c r="O8" s="376"/>
      <c r="P8" s="376"/>
      <c r="Q8" s="376"/>
      <c r="R8" s="376"/>
      <c r="S8" s="378"/>
      <c r="T8" s="378"/>
      <c r="U8" s="379"/>
      <c r="V8" s="376"/>
      <c r="W8" s="376"/>
      <c r="X8" s="376"/>
      <c r="Y8" s="376"/>
      <c r="Z8" s="376"/>
      <c r="AA8" s="376"/>
      <c r="AB8" s="376"/>
      <c r="AC8" s="376"/>
      <c r="AD8" s="376"/>
      <c r="AE8" s="376"/>
      <c r="AF8" s="376"/>
      <c r="AG8" s="376"/>
      <c r="AH8" s="376"/>
      <c r="AI8" s="376"/>
      <c r="AJ8" s="376"/>
      <c r="AK8" s="376"/>
      <c r="AL8" s="376"/>
      <c r="AM8" s="376"/>
      <c r="AN8" s="378"/>
      <c r="AO8" s="378"/>
      <c r="AP8" s="377"/>
      <c r="AQ8" s="376"/>
      <c r="AR8" s="376"/>
      <c r="AS8" s="376"/>
      <c r="AT8" s="376"/>
      <c r="AU8" s="376"/>
      <c r="AV8" s="376"/>
      <c r="AW8" s="376"/>
      <c r="AX8" s="376"/>
      <c r="AY8" s="376"/>
      <c r="AZ8" s="376"/>
      <c r="BA8" s="376"/>
      <c r="BB8" s="376"/>
      <c r="BC8" s="376"/>
      <c r="BD8" s="376"/>
      <c r="BE8" s="376"/>
      <c r="BF8" s="376"/>
      <c r="BG8" s="376"/>
      <c r="BH8" s="378"/>
      <c r="BI8" s="483"/>
      <c r="BJ8" s="483"/>
      <c r="BK8" s="483"/>
      <c r="BL8" s="483"/>
      <c r="BM8" s="483"/>
      <c r="BN8" s="483"/>
      <c r="BO8" s="483"/>
      <c r="BP8" s="483"/>
      <c r="BQ8" s="483"/>
      <c r="BR8" s="484"/>
      <c r="BS8" s="485"/>
      <c r="BT8" s="486">
        <f t="shared" ref="BT8:BT16" si="0">SUM(B8:BR8)</f>
        <v>100</v>
      </c>
    </row>
    <row r="9" spans="1:72" s="487" customFormat="1">
      <c r="A9" s="864" t="s">
        <v>267</v>
      </c>
      <c r="B9" s="636"/>
      <c r="C9" s="637"/>
      <c r="D9" s="636"/>
      <c r="E9" s="636"/>
      <c r="F9" s="636"/>
      <c r="G9" s="636"/>
      <c r="H9" s="636"/>
      <c r="I9" s="636"/>
      <c r="J9" s="636"/>
      <c r="K9" s="636"/>
      <c r="L9" s="636"/>
      <c r="M9" s="636"/>
      <c r="N9" s="636"/>
      <c r="O9" s="636"/>
      <c r="P9" s="636"/>
      <c r="Q9" s="636"/>
      <c r="R9" s="636"/>
      <c r="S9" s="637"/>
      <c r="T9" s="637"/>
      <c r="U9" s="636"/>
      <c r="V9" s="636"/>
      <c r="W9" s="636"/>
      <c r="X9" s="636"/>
      <c r="Y9" s="636"/>
      <c r="Z9" s="636"/>
      <c r="AA9" s="636"/>
      <c r="AB9" s="636"/>
      <c r="AC9" s="636"/>
      <c r="AD9" s="636"/>
      <c r="AE9" s="636"/>
      <c r="AF9" s="636"/>
      <c r="AG9" s="636"/>
      <c r="AH9" s="636"/>
      <c r="AI9" s="636"/>
      <c r="AJ9" s="636"/>
      <c r="AK9" s="636"/>
      <c r="AL9" s="636"/>
      <c r="AM9" s="636"/>
      <c r="AN9" s="637"/>
      <c r="AO9" s="637"/>
      <c r="AP9" s="638"/>
      <c r="AQ9" s="636"/>
      <c r="AR9" s="636"/>
      <c r="AS9" s="636"/>
      <c r="AT9" s="376"/>
      <c r="AU9" s="376"/>
      <c r="AV9" s="376"/>
      <c r="AW9" s="376"/>
      <c r="AX9" s="376"/>
      <c r="AY9" s="376"/>
      <c r="AZ9" s="376"/>
      <c r="BA9" s="378"/>
      <c r="BB9" s="376"/>
      <c r="BC9" s="376">
        <v>6</v>
      </c>
      <c r="BD9" s="376"/>
      <c r="BE9" s="376"/>
      <c r="BF9" s="376"/>
      <c r="BG9" s="376"/>
      <c r="BH9" s="378"/>
      <c r="BI9" s="483"/>
      <c r="BJ9" s="483"/>
      <c r="BK9" s="483"/>
      <c r="BL9" s="483"/>
      <c r="BM9" s="483"/>
      <c r="BN9" s="483"/>
      <c r="BO9" s="483"/>
      <c r="BP9" s="483"/>
      <c r="BQ9" s="483"/>
      <c r="BR9" s="484"/>
      <c r="BS9" s="485"/>
      <c r="BT9" s="486">
        <f t="shared" si="0"/>
        <v>6</v>
      </c>
    </row>
    <row r="10" spans="1:72" s="487" customFormat="1" ht="14">
      <c r="A10" s="635" t="s">
        <v>270</v>
      </c>
      <c r="B10" s="636"/>
      <c r="C10" s="637"/>
      <c r="D10" s="636"/>
      <c r="E10" s="636"/>
      <c r="F10" s="636"/>
      <c r="G10" s="636"/>
      <c r="H10" s="636"/>
      <c r="I10" s="636"/>
      <c r="J10" s="636"/>
      <c r="K10" s="636"/>
      <c r="L10" s="636"/>
      <c r="M10" s="636"/>
      <c r="N10" s="636"/>
      <c r="O10" s="636"/>
      <c r="P10" s="636"/>
      <c r="Q10" s="636"/>
      <c r="R10" s="636"/>
      <c r="S10" s="637"/>
      <c r="T10" s="637"/>
      <c r="U10" s="636"/>
      <c r="V10" s="636"/>
      <c r="W10" s="636"/>
      <c r="X10" s="636"/>
      <c r="Y10" s="636"/>
      <c r="Z10" s="636"/>
      <c r="AA10" s="636"/>
      <c r="AB10" s="636"/>
      <c r="AC10" s="636"/>
      <c r="AD10" s="636"/>
      <c r="AE10" s="636"/>
      <c r="AF10" s="636"/>
      <c r="AG10" s="636"/>
      <c r="AH10" s="636"/>
      <c r="AI10" s="636"/>
      <c r="AJ10" s="636"/>
      <c r="AK10" s="636"/>
      <c r="AL10" s="636"/>
      <c r="AM10" s="636"/>
      <c r="AN10" s="637"/>
      <c r="AO10" s="637"/>
      <c r="AP10" s="638"/>
      <c r="AQ10" s="636"/>
      <c r="AR10" s="636"/>
      <c r="AS10" s="636"/>
      <c r="AT10" s="636"/>
      <c r="AU10" s="636"/>
      <c r="AV10" s="636"/>
      <c r="AW10" s="636"/>
      <c r="AX10" s="636"/>
      <c r="AY10" s="636"/>
      <c r="AZ10" s="636"/>
      <c r="BA10" s="637"/>
      <c r="BB10" s="636"/>
      <c r="BC10" s="636">
        <v>32.49</v>
      </c>
      <c r="BD10" s="376"/>
      <c r="BE10" s="376"/>
      <c r="BF10" s="376"/>
      <c r="BG10" s="376"/>
      <c r="BH10" s="378"/>
      <c r="BI10" s="483"/>
      <c r="BJ10" s="483"/>
      <c r="BK10" s="483"/>
      <c r="BL10" s="483"/>
      <c r="BM10" s="483"/>
      <c r="BN10" s="483"/>
      <c r="BO10" s="483"/>
      <c r="BP10" s="483"/>
      <c r="BQ10" s="483"/>
      <c r="BR10" s="484"/>
      <c r="BS10" s="485"/>
      <c r="BT10" s="486">
        <f t="shared" si="0"/>
        <v>32.49</v>
      </c>
    </row>
    <row r="11" spans="1:72" s="487" customFormat="1" ht="14">
      <c r="A11" s="382" t="s">
        <v>271</v>
      </c>
      <c r="B11" s="383"/>
      <c r="C11" s="385"/>
      <c r="D11" s="383"/>
      <c r="E11" s="383"/>
      <c r="F11" s="383"/>
      <c r="G11" s="383"/>
      <c r="H11" s="383"/>
      <c r="I11" s="383"/>
      <c r="J11" s="383"/>
      <c r="K11" s="383"/>
      <c r="L11" s="383"/>
      <c r="M11" s="383"/>
      <c r="N11" s="383"/>
      <c r="O11" s="383"/>
      <c r="P11" s="383"/>
      <c r="Q11" s="383"/>
      <c r="R11" s="383"/>
      <c r="S11" s="385"/>
      <c r="T11" s="385"/>
      <c r="U11" s="383"/>
      <c r="V11" s="383"/>
      <c r="W11" s="383"/>
      <c r="X11" s="383"/>
      <c r="Y11" s="383"/>
      <c r="Z11" s="383"/>
      <c r="AA11" s="383"/>
      <c r="AB11" s="383"/>
      <c r="AC11" s="383"/>
      <c r="AD11" s="383"/>
      <c r="AE11" s="383"/>
      <c r="AF11" s="383"/>
      <c r="AG11" s="383"/>
      <c r="AH11" s="383"/>
      <c r="AI11" s="383"/>
      <c r="AJ11" s="383"/>
      <c r="AK11" s="383"/>
      <c r="AL11" s="383"/>
      <c r="AM11" s="383"/>
      <c r="AN11" s="385"/>
      <c r="AO11" s="385"/>
      <c r="AP11" s="384"/>
      <c r="AQ11" s="383"/>
      <c r="AR11" s="383"/>
      <c r="AS11" s="383"/>
      <c r="AT11" s="636"/>
      <c r="AU11" s="636"/>
      <c r="AV11" s="636"/>
      <c r="AW11" s="636"/>
      <c r="AX11" s="636"/>
      <c r="AY11" s="636"/>
      <c r="AZ11" s="636"/>
      <c r="BA11" s="637"/>
      <c r="BB11" s="636"/>
      <c r="BC11" s="636">
        <v>23.98</v>
      </c>
      <c r="BD11" s="376"/>
      <c r="BE11" s="376"/>
      <c r="BF11" s="376"/>
      <c r="BG11" s="376"/>
      <c r="BH11" s="378"/>
      <c r="BI11" s="483"/>
      <c r="BJ11" s="483"/>
      <c r="BK11" s="483"/>
      <c r="BL11" s="483"/>
      <c r="BM11" s="483"/>
      <c r="BN11" s="483"/>
      <c r="BO11" s="483"/>
      <c r="BP11" s="483"/>
      <c r="BQ11" s="483"/>
      <c r="BR11" s="484"/>
      <c r="BS11" s="485"/>
      <c r="BT11" s="486">
        <f t="shared" si="0"/>
        <v>23.98</v>
      </c>
    </row>
    <row r="12" spans="1:72" s="652" customFormat="1">
      <c r="A12" s="864" t="s">
        <v>268</v>
      </c>
      <c r="B12" s="636"/>
      <c r="C12" s="637"/>
      <c r="D12" s="636"/>
      <c r="E12" s="636"/>
      <c r="F12" s="636"/>
      <c r="G12" s="636"/>
      <c r="H12" s="636"/>
      <c r="I12" s="636"/>
      <c r="J12" s="636"/>
      <c r="K12" s="636"/>
      <c r="L12" s="636"/>
      <c r="M12" s="636"/>
      <c r="N12" s="636"/>
      <c r="O12" s="636"/>
      <c r="P12" s="636"/>
      <c r="Q12" s="636"/>
      <c r="R12" s="636"/>
      <c r="S12" s="637"/>
      <c r="T12" s="637"/>
      <c r="U12" s="636"/>
      <c r="V12" s="636"/>
      <c r="W12" s="636"/>
      <c r="X12" s="636"/>
      <c r="Y12" s="636"/>
      <c r="Z12" s="636"/>
      <c r="AA12" s="636"/>
      <c r="AB12" s="636"/>
      <c r="AC12" s="636"/>
      <c r="AD12" s="636"/>
      <c r="AE12" s="636"/>
      <c r="AF12" s="636"/>
      <c r="AG12" s="636"/>
      <c r="AH12" s="636"/>
      <c r="AI12" s="636"/>
      <c r="AJ12" s="636"/>
      <c r="AK12" s="636"/>
      <c r="AL12" s="636"/>
      <c r="AM12" s="636"/>
      <c r="AN12" s="637"/>
      <c r="AO12" s="637"/>
      <c r="AP12" s="638"/>
      <c r="AQ12" s="636"/>
      <c r="AR12" s="636"/>
      <c r="AS12" s="636"/>
      <c r="AT12" s="376"/>
      <c r="AU12" s="376"/>
      <c r="AV12" s="376"/>
      <c r="AW12" s="376"/>
      <c r="AX12" s="376"/>
      <c r="AY12" s="376"/>
      <c r="AZ12" s="376"/>
      <c r="BA12" s="378"/>
      <c r="BB12" s="376"/>
      <c r="BC12" s="376">
        <v>6</v>
      </c>
      <c r="BD12" s="376"/>
      <c r="BE12" s="376"/>
      <c r="BF12" s="376"/>
      <c r="BG12" s="376"/>
      <c r="BH12" s="378"/>
      <c r="BI12" s="649"/>
      <c r="BJ12" s="649"/>
      <c r="BK12" s="649"/>
      <c r="BL12" s="649"/>
      <c r="BM12" s="649"/>
      <c r="BN12" s="649"/>
      <c r="BO12" s="649"/>
      <c r="BP12" s="649"/>
      <c r="BQ12" s="649"/>
      <c r="BR12" s="650"/>
      <c r="BS12" s="651"/>
      <c r="BT12" s="486">
        <f t="shared" si="0"/>
        <v>6</v>
      </c>
    </row>
    <row r="13" spans="1:72" s="487" customFormat="1">
      <c r="A13" s="864" t="s">
        <v>269</v>
      </c>
      <c r="B13" s="636"/>
      <c r="C13" s="637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7"/>
      <c r="T13" s="637"/>
      <c r="U13" s="636"/>
      <c r="V13" s="636"/>
      <c r="W13" s="636"/>
      <c r="X13" s="636"/>
      <c r="Y13" s="636"/>
      <c r="Z13" s="636"/>
      <c r="AA13" s="636"/>
      <c r="AB13" s="636"/>
      <c r="AC13" s="636"/>
      <c r="AD13" s="636"/>
      <c r="AE13" s="636"/>
      <c r="AF13" s="636"/>
      <c r="AG13" s="636"/>
      <c r="AH13" s="636"/>
      <c r="AI13" s="636"/>
      <c r="AJ13" s="636"/>
      <c r="AK13" s="636"/>
      <c r="AL13" s="636"/>
      <c r="AM13" s="636"/>
      <c r="AN13" s="637"/>
      <c r="AO13" s="637"/>
      <c r="AP13" s="638"/>
      <c r="AQ13" s="636"/>
      <c r="AR13" s="636"/>
      <c r="AS13" s="636"/>
      <c r="AT13" s="376"/>
      <c r="AU13" s="376"/>
      <c r="AV13" s="376"/>
      <c r="AW13" s="376"/>
      <c r="AX13" s="376"/>
      <c r="AY13" s="376"/>
      <c r="AZ13" s="376"/>
      <c r="BA13" s="378"/>
      <c r="BB13" s="376"/>
      <c r="BC13" s="376">
        <v>3</v>
      </c>
      <c r="BD13" s="376"/>
      <c r="BE13" s="376"/>
      <c r="BF13" s="376"/>
      <c r="BG13" s="376"/>
      <c r="BH13" s="378"/>
      <c r="BI13" s="483"/>
      <c r="BJ13" s="483"/>
      <c r="BK13" s="483"/>
      <c r="BL13" s="483"/>
      <c r="BM13" s="483"/>
      <c r="BN13" s="483"/>
      <c r="BO13" s="483"/>
      <c r="BP13" s="483"/>
      <c r="BQ13" s="483"/>
      <c r="BR13" s="484"/>
      <c r="BS13" s="485"/>
      <c r="BT13" s="486">
        <f t="shared" si="0"/>
        <v>3</v>
      </c>
    </row>
    <row r="14" spans="1:72" s="487" customFormat="1">
      <c r="A14" s="864" t="s">
        <v>263</v>
      </c>
      <c r="B14" s="636"/>
      <c r="C14" s="637"/>
      <c r="D14" s="636"/>
      <c r="E14" s="636"/>
      <c r="F14" s="636"/>
      <c r="G14" s="636"/>
      <c r="H14" s="636"/>
      <c r="I14" s="636"/>
      <c r="J14" s="636">
        <v>10</v>
      </c>
      <c r="K14" s="376"/>
      <c r="L14" s="376"/>
      <c r="M14" s="376"/>
      <c r="N14" s="376"/>
      <c r="O14" s="376"/>
      <c r="P14" s="376"/>
      <c r="Q14" s="376"/>
      <c r="R14" s="376"/>
      <c r="S14" s="378"/>
      <c r="T14" s="378"/>
      <c r="U14" s="379"/>
      <c r="V14" s="376"/>
      <c r="W14" s="376"/>
      <c r="X14" s="376"/>
      <c r="Y14" s="376"/>
      <c r="Z14" s="376"/>
      <c r="AA14" s="376"/>
      <c r="AB14" s="376"/>
      <c r="AC14" s="376"/>
      <c r="AD14" s="376"/>
      <c r="AE14" s="376"/>
      <c r="AF14" s="376"/>
      <c r="AG14" s="376"/>
      <c r="AH14" s="376"/>
      <c r="AI14" s="376"/>
      <c r="AJ14" s="376"/>
      <c r="AK14" s="376"/>
      <c r="AL14" s="376"/>
      <c r="AM14" s="376"/>
      <c r="AN14" s="378"/>
      <c r="AO14" s="378"/>
      <c r="AP14" s="377"/>
      <c r="AQ14" s="376"/>
      <c r="AR14" s="376"/>
      <c r="AS14" s="376"/>
      <c r="AT14" s="376"/>
      <c r="AU14" s="376"/>
      <c r="AV14" s="376"/>
      <c r="AW14" s="376"/>
      <c r="AX14" s="376"/>
      <c r="AY14" s="376"/>
      <c r="AZ14" s="376"/>
      <c r="BA14" s="376"/>
      <c r="BB14" s="376"/>
      <c r="BC14" s="376"/>
      <c r="BD14" s="376"/>
      <c r="BE14" s="376"/>
      <c r="BF14" s="376"/>
      <c r="BG14" s="376"/>
      <c r="BH14" s="378"/>
      <c r="BI14" s="483"/>
      <c r="BJ14" s="483"/>
      <c r="BK14" s="483"/>
      <c r="BL14" s="483"/>
      <c r="BM14" s="483"/>
      <c r="BN14" s="483"/>
      <c r="BO14" s="483"/>
      <c r="BP14" s="483"/>
      <c r="BQ14" s="483"/>
      <c r="BR14" s="484"/>
      <c r="BS14" s="485"/>
      <c r="BT14" s="486">
        <f t="shared" si="0"/>
        <v>10</v>
      </c>
    </row>
    <row r="15" spans="1:72">
      <c r="A15" s="548"/>
      <c r="B15" s="376"/>
      <c r="C15" s="378"/>
      <c r="D15" s="376"/>
      <c r="E15" s="376"/>
      <c r="F15" s="376"/>
      <c r="G15" s="376"/>
      <c r="H15" s="376"/>
      <c r="I15" s="376"/>
      <c r="J15" s="376"/>
      <c r="K15" s="376"/>
      <c r="L15" s="376"/>
      <c r="M15" s="376"/>
      <c r="N15" s="376"/>
      <c r="O15" s="376"/>
      <c r="P15" s="376"/>
      <c r="Q15" s="376"/>
      <c r="R15" s="376"/>
      <c r="S15" s="378"/>
      <c r="T15" s="378"/>
      <c r="U15" s="379"/>
      <c r="V15" s="376"/>
      <c r="W15" s="376"/>
      <c r="X15" s="376"/>
      <c r="Y15" s="376"/>
      <c r="Z15" s="376"/>
      <c r="AA15" s="376"/>
      <c r="AB15" s="376"/>
      <c r="AC15" s="376"/>
      <c r="AD15" s="376"/>
      <c r="AE15" s="376"/>
      <c r="AF15" s="376"/>
      <c r="AG15" s="376"/>
      <c r="AH15" s="376"/>
      <c r="AI15" s="376"/>
      <c r="AJ15" s="376"/>
      <c r="AK15" s="376"/>
      <c r="AL15" s="376"/>
      <c r="AM15" s="376"/>
      <c r="AN15" s="378"/>
      <c r="AO15" s="378"/>
      <c r="AP15" s="377"/>
      <c r="AQ15" s="376"/>
      <c r="AR15" s="376"/>
      <c r="AS15" s="376"/>
      <c r="AT15" s="376"/>
      <c r="AU15" s="376"/>
      <c r="AV15" s="376"/>
      <c r="AW15" s="376"/>
      <c r="AX15" s="376"/>
      <c r="AY15" s="376"/>
      <c r="AZ15" s="376"/>
      <c r="BA15" s="376"/>
      <c r="BB15" s="376"/>
      <c r="BC15" s="376"/>
      <c r="BD15" s="376"/>
      <c r="BE15" s="376"/>
      <c r="BF15" s="376"/>
      <c r="BG15" s="376"/>
      <c r="BH15" s="378"/>
      <c r="BI15" s="56"/>
      <c r="BJ15" s="56"/>
      <c r="BK15" s="56"/>
      <c r="BL15" s="56"/>
      <c r="BM15" s="56"/>
      <c r="BN15" s="56"/>
      <c r="BO15" s="56"/>
      <c r="BP15" s="56"/>
      <c r="BQ15" s="56"/>
      <c r="BR15" s="62"/>
      <c r="BS15" s="49"/>
      <c r="BT15" s="486">
        <f t="shared" si="0"/>
        <v>0</v>
      </c>
    </row>
    <row r="16" spans="1:72" s="487" customFormat="1">
      <c r="A16" s="548"/>
      <c r="B16" s="376"/>
      <c r="C16" s="378"/>
      <c r="D16" s="376"/>
      <c r="E16" s="376"/>
      <c r="F16" s="376"/>
      <c r="G16" s="376"/>
      <c r="H16" s="376"/>
      <c r="I16" s="376"/>
      <c r="J16" s="376"/>
      <c r="K16" s="376"/>
      <c r="L16" s="376"/>
      <c r="M16" s="376"/>
      <c r="N16" s="376"/>
      <c r="O16" s="376"/>
      <c r="P16" s="376"/>
      <c r="Q16" s="376"/>
      <c r="R16" s="376"/>
      <c r="S16" s="378"/>
      <c r="T16" s="378"/>
      <c r="U16" s="379"/>
      <c r="V16" s="376"/>
      <c r="W16" s="376"/>
      <c r="X16" s="376"/>
      <c r="Y16" s="376"/>
      <c r="Z16" s="376"/>
      <c r="AA16" s="376"/>
      <c r="AB16" s="376"/>
      <c r="AC16" s="376"/>
      <c r="AD16" s="376"/>
      <c r="AE16" s="376"/>
      <c r="AF16" s="376"/>
      <c r="AG16" s="376"/>
      <c r="AH16" s="376"/>
      <c r="AI16" s="376"/>
      <c r="AJ16" s="376"/>
      <c r="AK16" s="376"/>
      <c r="AL16" s="376"/>
      <c r="AM16" s="376"/>
      <c r="AN16" s="378"/>
      <c r="AO16" s="378"/>
      <c r="AP16" s="377"/>
      <c r="AQ16" s="376"/>
      <c r="AR16" s="376"/>
      <c r="AS16" s="376"/>
      <c r="AT16" s="376"/>
      <c r="AU16" s="376"/>
      <c r="AV16" s="376"/>
      <c r="AW16" s="376"/>
      <c r="AX16" s="376"/>
      <c r="AY16" s="376"/>
      <c r="AZ16" s="376"/>
      <c r="BA16" s="376"/>
      <c r="BB16" s="376"/>
      <c r="BC16" s="376"/>
      <c r="BD16" s="376"/>
      <c r="BE16" s="376"/>
      <c r="BF16" s="376"/>
      <c r="BG16" s="376"/>
      <c r="BH16" s="378"/>
      <c r="BI16" s="483"/>
      <c r="BJ16" s="483"/>
      <c r="BK16" s="483"/>
      <c r="BL16" s="483"/>
      <c r="BM16" s="483"/>
      <c r="BN16" s="483"/>
      <c r="BO16" s="483"/>
      <c r="BP16" s="483"/>
      <c r="BQ16" s="483"/>
      <c r="BR16" s="484"/>
      <c r="BS16" s="485"/>
      <c r="BT16" s="486">
        <f t="shared" si="0"/>
        <v>0</v>
      </c>
    </row>
    <row r="17" spans="1:72">
      <c r="A17" s="548"/>
      <c r="B17" s="376"/>
      <c r="C17" s="378"/>
      <c r="D17" s="376"/>
      <c r="E17" s="376"/>
      <c r="F17" s="376"/>
      <c r="G17" s="376"/>
      <c r="H17" s="376"/>
      <c r="I17" s="376"/>
      <c r="J17" s="376"/>
      <c r="K17" s="376"/>
      <c r="L17" s="376"/>
      <c r="M17" s="376"/>
      <c r="N17" s="376"/>
      <c r="O17" s="376"/>
      <c r="P17" s="376"/>
      <c r="Q17" s="376"/>
      <c r="R17" s="376"/>
      <c r="S17" s="378"/>
      <c r="T17" s="378"/>
      <c r="U17" s="379"/>
      <c r="V17" s="376"/>
      <c r="W17" s="376"/>
      <c r="X17" s="376"/>
      <c r="Y17" s="376"/>
      <c r="Z17" s="376"/>
      <c r="AA17" s="376"/>
      <c r="AB17" s="376"/>
      <c r="AC17" s="376"/>
      <c r="AD17" s="376"/>
      <c r="AE17" s="376"/>
      <c r="AF17" s="376"/>
      <c r="AG17" s="376"/>
      <c r="AH17" s="376"/>
      <c r="AI17" s="376"/>
      <c r="AJ17" s="376"/>
      <c r="AK17" s="376"/>
      <c r="AL17" s="376"/>
      <c r="AM17" s="376"/>
      <c r="AN17" s="378"/>
      <c r="AO17" s="378"/>
      <c r="AP17" s="377"/>
      <c r="AQ17" s="376"/>
      <c r="AR17" s="376"/>
      <c r="AS17" s="376"/>
      <c r="AT17" s="376"/>
      <c r="AU17" s="376"/>
      <c r="AV17" s="376"/>
      <c r="AW17" s="376"/>
      <c r="AX17" s="376"/>
      <c r="AY17" s="376"/>
      <c r="AZ17" s="376"/>
      <c r="BA17" s="376"/>
      <c r="BB17" s="376"/>
      <c r="BC17" s="376"/>
      <c r="BD17" s="376"/>
      <c r="BE17" s="376"/>
      <c r="BF17" s="376"/>
      <c r="BG17" s="376"/>
      <c r="BH17" s="378"/>
      <c r="BI17" s="56"/>
      <c r="BJ17" s="56"/>
      <c r="BK17" s="56"/>
      <c r="BL17" s="56"/>
      <c r="BM17" s="56"/>
      <c r="BN17" s="56"/>
      <c r="BO17" s="56"/>
      <c r="BP17" s="56"/>
      <c r="BQ17" s="56"/>
      <c r="BR17" s="62"/>
      <c r="BS17" s="49"/>
      <c r="BT17" s="486">
        <f t="shared" ref="BT17:BT23" si="1">SUM(B17:BR17)</f>
        <v>0</v>
      </c>
    </row>
    <row r="18" spans="1:72" s="487" customFormat="1">
      <c r="A18" s="548"/>
      <c r="B18" s="376"/>
      <c r="C18" s="378"/>
      <c r="D18" s="376"/>
      <c r="E18" s="376"/>
      <c r="F18" s="376"/>
      <c r="G18" s="376"/>
      <c r="H18" s="376"/>
      <c r="I18" s="376"/>
      <c r="J18" s="376"/>
      <c r="K18" s="376"/>
      <c r="L18" s="376"/>
      <c r="M18" s="376"/>
      <c r="N18" s="376"/>
      <c r="O18" s="376"/>
      <c r="P18" s="376"/>
      <c r="Q18" s="376"/>
      <c r="R18" s="376"/>
      <c r="S18" s="378"/>
      <c r="T18" s="378"/>
      <c r="U18" s="379"/>
      <c r="V18" s="376"/>
      <c r="W18" s="376"/>
      <c r="X18" s="376"/>
      <c r="Y18" s="376"/>
      <c r="Z18" s="376"/>
      <c r="AA18" s="376"/>
      <c r="AB18" s="376"/>
      <c r="AC18" s="376"/>
      <c r="AD18" s="376"/>
      <c r="AE18" s="376"/>
      <c r="AF18" s="376"/>
      <c r="AG18" s="376"/>
      <c r="AH18" s="376"/>
      <c r="AI18" s="376"/>
      <c r="AJ18" s="376"/>
      <c r="AK18" s="376"/>
      <c r="AL18" s="376"/>
      <c r="AM18" s="376"/>
      <c r="AN18" s="378"/>
      <c r="AO18" s="378"/>
      <c r="AP18" s="377"/>
      <c r="AQ18" s="376"/>
      <c r="AR18" s="376"/>
      <c r="AS18" s="376"/>
      <c r="AT18" s="376"/>
      <c r="AU18" s="376"/>
      <c r="AV18" s="376"/>
      <c r="AW18" s="376"/>
      <c r="AX18" s="376"/>
      <c r="AY18" s="376"/>
      <c r="AZ18" s="376"/>
      <c r="BA18" s="376"/>
      <c r="BB18" s="376"/>
      <c r="BC18" s="376"/>
      <c r="BD18" s="376"/>
      <c r="BE18" s="376"/>
      <c r="BF18" s="376"/>
      <c r="BG18" s="376"/>
      <c r="BH18" s="378"/>
      <c r="BI18" s="483"/>
      <c r="BJ18" s="483"/>
      <c r="BK18" s="483"/>
      <c r="BL18" s="483"/>
      <c r="BM18" s="483"/>
      <c r="BN18" s="483"/>
      <c r="BO18" s="483"/>
      <c r="BP18" s="483"/>
      <c r="BQ18" s="483"/>
      <c r="BR18" s="484"/>
      <c r="BS18" s="485"/>
      <c r="BT18" s="486">
        <f t="shared" si="1"/>
        <v>0</v>
      </c>
    </row>
    <row r="19" spans="1:72" s="487" customFormat="1">
      <c r="A19" s="548"/>
      <c r="B19" s="376"/>
      <c r="C19" s="378"/>
      <c r="D19" s="376"/>
      <c r="E19" s="376"/>
      <c r="F19" s="376"/>
      <c r="G19" s="376"/>
      <c r="H19" s="376"/>
      <c r="I19" s="376"/>
      <c r="J19" s="376"/>
      <c r="K19" s="376"/>
      <c r="L19" s="376"/>
      <c r="M19" s="376"/>
      <c r="N19" s="376"/>
      <c r="O19" s="376"/>
      <c r="P19" s="376"/>
      <c r="Q19" s="376"/>
      <c r="R19" s="376"/>
      <c r="S19" s="378"/>
      <c r="T19" s="378"/>
      <c r="U19" s="379"/>
      <c r="V19" s="376"/>
      <c r="W19" s="376"/>
      <c r="X19" s="376"/>
      <c r="Y19" s="376"/>
      <c r="Z19" s="376"/>
      <c r="AA19" s="376"/>
      <c r="AB19" s="376"/>
      <c r="AC19" s="376"/>
      <c r="AD19" s="376"/>
      <c r="AE19" s="376"/>
      <c r="AF19" s="376"/>
      <c r="AG19" s="376"/>
      <c r="AH19" s="376"/>
      <c r="AI19" s="376"/>
      <c r="AJ19" s="376"/>
      <c r="AK19" s="376"/>
      <c r="AL19" s="376"/>
      <c r="AM19" s="376"/>
      <c r="AN19" s="378"/>
      <c r="AO19" s="378"/>
      <c r="AP19" s="377"/>
      <c r="AQ19" s="376"/>
      <c r="AR19" s="376"/>
      <c r="AS19" s="376"/>
      <c r="AT19" s="376"/>
      <c r="AU19" s="376"/>
      <c r="AV19" s="376"/>
      <c r="AW19" s="376"/>
      <c r="AX19" s="376"/>
      <c r="AY19" s="376"/>
      <c r="AZ19" s="376"/>
      <c r="BA19" s="376"/>
      <c r="BB19" s="376"/>
      <c r="BC19" s="376"/>
      <c r="BD19" s="376"/>
      <c r="BE19" s="376"/>
      <c r="BF19" s="376"/>
      <c r="BG19" s="376"/>
      <c r="BH19" s="378"/>
      <c r="BI19" s="483"/>
      <c r="BJ19" s="483"/>
      <c r="BK19" s="483"/>
      <c r="BL19" s="483"/>
      <c r="BM19" s="483"/>
      <c r="BN19" s="483"/>
      <c r="BO19" s="483"/>
      <c r="BP19" s="483"/>
      <c r="BQ19" s="483"/>
      <c r="BR19" s="484"/>
      <c r="BS19" s="485"/>
      <c r="BT19" s="486">
        <f t="shared" si="1"/>
        <v>0</v>
      </c>
    </row>
    <row r="20" spans="1:72" s="487" customFormat="1">
      <c r="A20" s="548"/>
      <c r="B20" s="376"/>
      <c r="C20" s="378"/>
      <c r="D20" s="376"/>
      <c r="E20" s="376"/>
      <c r="F20" s="376"/>
      <c r="G20" s="376"/>
      <c r="H20" s="376"/>
      <c r="I20" s="376"/>
      <c r="J20" s="376"/>
      <c r="K20" s="376"/>
      <c r="L20" s="376"/>
      <c r="M20" s="376"/>
      <c r="N20" s="376"/>
      <c r="O20" s="376"/>
      <c r="P20" s="376"/>
      <c r="Q20" s="376"/>
      <c r="R20" s="376"/>
      <c r="S20" s="378"/>
      <c r="T20" s="378"/>
      <c r="U20" s="379"/>
      <c r="V20" s="376"/>
      <c r="W20" s="376"/>
      <c r="X20" s="376"/>
      <c r="Y20" s="376"/>
      <c r="Z20" s="376"/>
      <c r="AA20" s="376"/>
      <c r="AB20" s="376"/>
      <c r="AC20" s="376"/>
      <c r="AD20" s="376"/>
      <c r="AE20" s="376"/>
      <c r="AF20" s="376"/>
      <c r="AG20" s="376"/>
      <c r="AH20" s="376"/>
      <c r="AI20" s="376"/>
      <c r="AJ20" s="376"/>
      <c r="AK20" s="376"/>
      <c r="AL20" s="376"/>
      <c r="AM20" s="376"/>
      <c r="AN20" s="378"/>
      <c r="AO20" s="378"/>
      <c r="AP20" s="377"/>
      <c r="AQ20" s="376"/>
      <c r="AR20" s="376"/>
      <c r="AS20" s="376"/>
      <c r="AT20" s="376"/>
      <c r="AU20" s="376"/>
      <c r="AV20" s="376"/>
      <c r="AW20" s="376"/>
      <c r="AX20" s="376"/>
      <c r="AY20" s="376"/>
      <c r="AZ20" s="376"/>
      <c r="BA20" s="376"/>
      <c r="BB20" s="376"/>
      <c r="BC20" s="376"/>
      <c r="BD20" s="376"/>
      <c r="BE20" s="376"/>
      <c r="BF20" s="376"/>
      <c r="BG20" s="376"/>
      <c r="BH20" s="378"/>
      <c r="BI20" s="483"/>
      <c r="BJ20" s="483"/>
      <c r="BK20" s="483"/>
      <c r="BL20" s="483"/>
      <c r="BM20" s="483"/>
      <c r="BN20" s="483"/>
      <c r="BO20" s="483"/>
      <c r="BP20" s="483"/>
      <c r="BQ20" s="483"/>
      <c r="BR20" s="484"/>
      <c r="BS20" s="485"/>
      <c r="BT20" s="486">
        <f t="shared" si="1"/>
        <v>0</v>
      </c>
    </row>
    <row r="21" spans="1:72" s="487" customFormat="1">
      <c r="A21" s="548"/>
      <c r="B21" s="376"/>
      <c r="C21" s="378"/>
      <c r="D21" s="376"/>
      <c r="E21" s="376"/>
      <c r="F21" s="376"/>
      <c r="G21" s="376"/>
      <c r="H21" s="376"/>
      <c r="I21" s="376"/>
      <c r="J21" s="376"/>
      <c r="K21" s="376"/>
      <c r="L21" s="376"/>
      <c r="M21" s="376"/>
      <c r="N21" s="376"/>
      <c r="O21" s="376"/>
      <c r="P21" s="376"/>
      <c r="Q21" s="376"/>
      <c r="R21" s="376"/>
      <c r="S21" s="378"/>
      <c r="T21" s="378"/>
      <c r="U21" s="379"/>
      <c r="V21" s="376"/>
      <c r="W21" s="376"/>
      <c r="X21" s="376"/>
      <c r="Y21" s="376"/>
      <c r="Z21" s="376"/>
      <c r="AA21" s="376"/>
      <c r="AB21" s="376"/>
      <c r="AC21" s="376"/>
      <c r="AD21" s="376"/>
      <c r="AE21" s="376"/>
      <c r="AF21" s="376"/>
      <c r="AG21" s="376"/>
      <c r="AH21" s="376"/>
      <c r="AI21" s="376"/>
      <c r="AJ21" s="376"/>
      <c r="AK21" s="376"/>
      <c r="AL21" s="376"/>
      <c r="AM21" s="376"/>
      <c r="AN21" s="378"/>
      <c r="AO21" s="378"/>
      <c r="AP21" s="377"/>
      <c r="AQ21" s="376"/>
      <c r="AR21" s="376"/>
      <c r="AS21" s="376"/>
      <c r="AT21" s="376"/>
      <c r="AU21" s="376"/>
      <c r="AV21" s="376"/>
      <c r="AW21" s="376"/>
      <c r="AX21" s="376"/>
      <c r="AY21" s="376"/>
      <c r="AZ21" s="376"/>
      <c r="BA21" s="376"/>
      <c r="BB21" s="376"/>
      <c r="BC21" s="376"/>
      <c r="BD21" s="376"/>
      <c r="BE21" s="376"/>
      <c r="BF21" s="376"/>
      <c r="BG21" s="376"/>
      <c r="BH21" s="378"/>
      <c r="BI21" s="483"/>
      <c r="BJ21" s="483"/>
      <c r="BK21" s="483"/>
      <c r="BL21" s="483"/>
      <c r="BM21" s="483"/>
      <c r="BN21" s="483"/>
      <c r="BO21" s="483"/>
      <c r="BP21" s="483"/>
      <c r="BQ21" s="483"/>
      <c r="BR21" s="484"/>
      <c r="BS21" s="485"/>
      <c r="BT21" s="486">
        <f t="shared" si="1"/>
        <v>0</v>
      </c>
    </row>
    <row r="22" spans="1:72" s="487" customFormat="1">
      <c r="A22" s="548"/>
      <c r="B22" s="376"/>
      <c r="C22" s="378"/>
      <c r="D22" s="376"/>
      <c r="E22" s="376"/>
      <c r="F22" s="376"/>
      <c r="G22" s="376"/>
      <c r="H22" s="376"/>
      <c r="I22" s="376"/>
      <c r="J22" s="376"/>
      <c r="K22" s="376"/>
      <c r="L22" s="376"/>
      <c r="M22" s="376"/>
      <c r="N22" s="376"/>
      <c r="O22" s="376"/>
      <c r="P22" s="376"/>
      <c r="Q22" s="376"/>
      <c r="R22" s="376"/>
      <c r="S22" s="378"/>
      <c r="T22" s="378"/>
      <c r="U22" s="379"/>
      <c r="V22" s="376"/>
      <c r="W22" s="376"/>
      <c r="X22" s="376"/>
      <c r="Y22" s="376"/>
      <c r="Z22" s="376"/>
      <c r="AA22" s="376"/>
      <c r="AB22" s="376"/>
      <c r="AC22" s="376"/>
      <c r="AD22" s="376"/>
      <c r="AE22" s="376"/>
      <c r="AF22" s="376"/>
      <c r="AG22" s="376"/>
      <c r="AH22" s="376"/>
      <c r="AI22" s="376"/>
      <c r="AJ22" s="376"/>
      <c r="AK22" s="376"/>
      <c r="AL22" s="376"/>
      <c r="AM22" s="376"/>
      <c r="AN22" s="378"/>
      <c r="AO22" s="378"/>
      <c r="AP22" s="377"/>
      <c r="AQ22" s="376"/>
      <c r="AR22" s="376"/>
      <c r="AS22" s="376"/>
      <c r="AT22" s="376"/>
      <c r="AU22" s="376"/>
      <c r="AV22" s="376"/>
      <c r="AW22" s="376"/>
      <c r="AX22" s="376"/>
      <c r="AY22" s="376"/>
      <c r="AZ22" s="376"/>
      <c r="BA22" s="376"/>
      <c r="BB22" s="376"/>
      <c r="BC22" s="376"/>
      <c r="BD22" s="376"/>
      <c r="BE22" s="376"/>
      <c r="BF22" s="376"/>
      <c r="BG22" s="376"/>
      <c r="BH22" s="378"/>
      <c r="BI22" s="483"/>
      <c r="BJ22" s="483"/>
      <c r="BK22" s="483"/>
      <c r="BL22" s="483"/>
      <c r="BM22" s="483"/>
      <c r="BN22" s="483"/>
      <c r="BO22" s="483"/>
      <c r="BP22" s="483"/>
      <c r="BQ22" s="483"/>
      <c r="BR22" s="484"/>
      <c r="BS22" s="485"/>
      <c r="BT22" s="486">
        <f t="shared" si="1"/>
        <v>0</v>
      </c>
    </row>
    <row r="23" spans="1:72" s="487" customFormat="1">
      <c r="A23" s="548"/>
      <c r="B23" s="376"/>
      <c r="C23" s="378"/>
      <c r="D23" s="376"/>
      <c r="E23" s="376"/>
      <c r="F23" s="376"/>
      <c r="G23" s="376"/>
      <c r="H23" s="376"/>
      <c r="I23" s="376"/>
      <c r="J23" s="376"/>
      <c r="K23" s="376"/>
      <c r="L23" s="376"/>
      <c r="M23" s="376"/>
      <c r="N23" s="376"/>
      <c r="O23" s="376"/>
      <c r="P23" s="376"/>
      <c r="Q23" s="376"/>
      <c r="R23" s="376"/>
      <c r="S23" s="378"/>
      <c r="T23" s="378"/>
      <c r="U23" s="379"/>
      <c r="V23" s="376"/>
      <c r="W23" s="376"/>
      <c r="X23" s="376"/>
      <c r="Y23" s="376"/>
      <c r="Z23" s="376"/>
      <c r="AA23" s="376"/>
      <c r="AB23" s="376"/>
      <c r="AC23" s="376"/>
      <c r="AD23" s="376"/>
      <c r="AE23" s="376"/>
      <c r="AF23" s="376"/>
      <c r="AG23" s="376"/>
      <c r="AH23" s="376"/>
      <c r="AI23" s="376"/>
      <c r="AJ23" s="376"/>
      <c r="AK23" s="376"/>
      <c r="AL23" s="376"/>
      <c r="AM23" s="376"/>
      <c r="AN23" s="378"/>
      <c r="AO23" s="378"/>
      <c r="AP23" s="377"/>
      <c r="AQ23" s="376"/>
      <c r="AR23" s="376"/>
      <c r="AS23" s="376"/>
      <c r="AT23" s="376"/>
      <c r="AU23" s="376"/>
      <c r="AV23" s="376"/>
      <c r="AW23" s="376"/>
      <c r="AX23" s="376"/>
      <c r="AY23" s="376"/>
      <c r="AZ23" s="376"/>
      <c r="BA23" s="376"/>
      <c r="BB23" s="376"/>
      <c r="BC23" s="376"/>
      <c r="BD23" s="376"/>
      <c r="BE23" s="376"/>
      <c r="BF23" s="376"/>
      <c r="BG23" s="376"/>
      <c r="BH23" s="378"/>
      <c r="BI23" s="483"/>
      <c r="BJ23" s="483"/>
      <c r="BK23" s="483"/>
      <c r="BL23" s="483"/>
      <c r="BM23" s="483"/>
      <c r="BN23" s="483"/>
      <c r="BO23" s="483"/>
      <c r="BP23" s="483"/>
      <c r="BQ23" s="483"/>
      <c r="BR23" s="484"/>
      <c r="BS23" s="485"/>
      <c r="BT23" s="486">
        <f t="shared" si="1"/>
        <v>0</v>
      </c>
    </row>
    <row r="24" spans="1:72" s="487" customFormat="1">
      <c r="A24" s="548"/>
      <c r="B24" s="376"/>
      <c r="C24" s="378"/>
      <c r="D24" s="376"/>
      <c r="E24" s="376"/>
      <c r="F24" s="376"/>
      <c r="G24" s="376"/>
      <c r="H24" s="376"/>
      <c r="I24" s="376"/>
      <c r="J24" s="376"/>
      <c r="K24" s="376"/>
      <c r="L24" s="376"/>
      <c r="M24" s="376"/>
      <c r="N24" s="376"/>
      <c r="O24" s="376"/>
      <c r="P24" s="376"/>
      <c r="Q24" s="376"/>
      <c r="R24" s="376"/>
      <c r="S24" s="378"/>
      <c r="T24" s="378"/>
      <c r="U24" s="379"/>
      <c r="V24" s="376"/>
      <c r="W24" s="376"/>
      <c r="X24" s="376"/>
      <c r="Y24" s="376"/>
      <c r="Z24" s="376"/>
      <c r="AA24" s="376"/>
      <c r="AB24" s="376"/>
      <c r="AC24" s="376"/>
      <c r="AD24" s="376"/>
      <c r="AE24" s="376"/>
      <c r="AF24" s="376"/>
      <c r="AG24" s="376"/>
      <c r="AH24" s="376"/>
      <c r="AI24" s="376"/>
      <c r="AJ24" s="376"/>
      <c r="AK24" s="376"/>
      <c r="AL24" s="376"/>
      <c r="AM24" s="376"/>
      <c r="AN24" s="378"/>
      <c r="AO24" s="378"/>
      <c r="AP24" s="377"/>
      <c r="AQ24" s="376"/>
      <c r="AR24" s="376"/>
      <c r="AS24" s="376"/>
      <c r="AT24" s="376"/>
      <c r="AU24" s="376"/>
      <c r="AV24" s="376"/>
      <c r="AW24" s="376"/>
      <c r="AX24" s="376"/>
      <c r="AY24" s="376"/>
      <c r="AZ24" s="376"/>
      <c r="BA24" s="376"/>
      <c r="BB24" s="376"/>
      <c r="BC24" s="376"/>
      <c r="BD24" s="376"/>
      <c r="BE24" s="376"/>
      <c r="BF24" s="376"/>
      <c r="BG24" s="376"/>
      <c r="BH24" s="378"/>
      <c r="BI24" s="483"/>
      <c r="BJ24" s="483"/>
      <c r="BK24" s="483"/>
      <c r="BL24" s="483"/>
      <c r="BM24" s="483"/>
      <c r="BN24" s="483"/>
      <c r="BO24" s="483"/>
      <c r="BP24" s="483"/>
      <c r="BQ24" s="483"/>
      <c r="BR24" s="484"/>
      <c r="BS24" s="485"/>
      <c r="BT24" s="486">
        <f>SUM(B24:BR24)</f>
        <v>0</v>
      </c>
    </row>
    <row r="25" spans="1:72" s="487" customFormat="1">
      <c r="A25" s="548"/>
      <c r="B25" s="376"/>
      <c r="C25" s="378"/>
      <c r="D25" s="376"/>
      <c r="E25" s="376"/>
      <c r="F25" s="376"/>
      <c r="G25" s="376"/>
      <c r="H25" s="376"/>
      <c r="I25" s="376"/>
      <c r="J25" s="376"/>
      <c r="K25" s="376"/>
      <c r="L25" s="376"/>
      <c r="M25" s="376"/>
      <c r="N25" s="376"/>
      <c r="O25" s="376"/>
      <c r="P25" s="376"/>
      <c r="Q25" s="376"/>
      <c r="R25" s="376"/>
      <c r="S25" s="378"/>
      <c r="T25" s="378"/>
      <c r="U25" s="379"/>
      <c r="V25" s="376"/>
      <c r="W25" s="376"/>
      <c r="X25" s="376"/>
      <c r="Y25" s="376"/>
      <c r="Z25" s="376"/>
      <c r="AA25" s="376"/>
      <c r="AB25" s="376"/>
      <c r="AC25" s="376"/>
      <c r="AD25" s="376"/>
      <c r="AE25" s="376"/>
      <c r="AF25" s="376"/>
      <c r="AG25" s="376"/>
      <c r="AH25" s="376"/>
      <c r="AI25" s="376"/>
      <c r="AJ25" s="376"/>
      <c r="AK25" s="376"/>
      <c r="AL25" s="376"/>
      <c r="AM25" s="376"/>
      <c r="AN25" s="378"/>
      <c r="AO25" s="378"/>
      <c r="AP25" s="377"/>
      <c r="AQ25" s="376"/>
      <c r="AR25" s="376"/>
      <c r="AS25" s="376"/>
      <c r="AT25" s="376"/>
      <c r="AU25" s="376"/>
      <c r="AV25" s="376"/>
      <c r="AW25" s="376"/>
      <c r="AX25" s="376"/>
      <c r="AY25" s="376"/>
      <c r="AZ25" s="376"/>
      <c r="BA25" s="376"/>
      <c r="BB25" s="376"/>
      <c r="BC25" s="376"/>
      <c r="BD25" s="376"/>
      <c r="BE25" s="376"/>
      <c r="BF25" s="376"/>
      <c r="BG25" s="376"/>
      <c r="BH25" s="378"/>
      <c r="BI25" s="483"/>
      <c r="BJ25" s="483"/>
      <c r="BK25" s="483"/>
      <c r="BL25" s="483"/>
      <c r="BM25" s="483"/>
      <c r="BN25" s="483"/>
      <c r="BO25" s="483"/>
      <c r="BP25" s="483"/>
      <c r="BQ25" s="483"/>
      <c r="BR25" s="484"/>
      <c r="BS25" s="485"/>
      <c r="BT25" s="486">
        <f>SUM(B25:BR25)</f>
        <v>0</v>
      </c>
    </row>
    <row r="26" spans="1:72" s="487" customFormat="1">
      <c r="A26" s="548"/>
      <c r="B26" s="376"/>
      <c r="C26" s="378"/>
      <c r="D26" s="376"/>
      <c r="E26" s="376"/>
      <c r="F26" s="376"/>
      <c r="G26" s="376"/>
      <c r="H26" s="376"/>
      <c r="I26" s="376"/>
      <c r="J26" s="376"/>
      <c r="K26" s="376"/>
      <c r="L26" s="376"/>
      <c r="M26" s="376"/>
      <c r="N26" s="376"/>
      <c r="O26" s="376"/>
      <c r="P26" s="376"/>
      <c r="Q26" s="376"/>
      <c r="R26" s="376"/>
      <c r="S26" s="378"/>
      <c r="T26" s="378"/>
      <c r="U26" s="376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6"/>
      <c r="AH26" s="376"/>
      <c r="AI26" s="376"/>
      <c r="AJ26" s="376"/>
      <c r="AK26" s="376"/>
      <c r="AL26" s="376"/>
      <c r="AM26" s="376"/>
      <c r="AN26" s="378"/>
      <c r="AO26" s="378"/>
      <c r="AP26" s="377"/>
      <c r="AQ26" s="376"/>
      <c r="AR26" s="376"/>
      <c r="AS26" s="376"/>
      <c r="AT26" s="376"/>
      <c r="AU26" s="376"/>
      <c r="AV26" s="376"/>
      <c r="AW26" s="376"/>
      <c r="AX26" s="376"/>
      <c r="AY26" s="376"/>
      <c r="AZ26" s="376"/>
      <c r="BA26" s="376"/>
      <c r="BB26" s="376"/>
      <c r="BC26" s="376"/>
      <c r="BD26" s="376"/>
      <c r="BE26" s="376"/>
      <c r="BF26" s="376"/>
      <c r="BG26" s="376"/>
      <c r="BH26" s="378"/>
      <c r="BI26" s="483"/>
      <c r="BJ26" s="483"/>
      <c r="BK26" s="483"/>
      <c r="BL26" s="483"/>
      <c r="BM26" s="483"/>
      <c r="BN26" s="483"/>
      <c r="BO26" s="483"/>
      <c r="BP26" s="483"/>
      <c r="BQ26" s="483"/>
      <c r="BR26" s="484"/>
      <c r="BS26" s="485"/>
      <c r="BT26" s="486">
        <f t="shared" ref="BT26:BT32" si="2">SUM(B26:BR26)</f>
        <v>0</v>
      </c>
    </row>
    <row r="27" spans="1:72">
      <c r="A27" s="548"/>
      <c r="B27" s="376"/>
      <c r="C27" s="378"/>
      <c r="D27" s="376"/>
      <c r="E27" s="376"/>
      <c r="F27" s="376"/>
      <c r="G27" s="376"/>
      <c r="H27" s="376"/>
      <c r="I27" s="376"/>
      <c r="J27" s="376"/>
      <c r="K27" s="376"/>
      <c r="L27" s="376"/>
      <c r="M27" s="376"/>
      <c r="N27" s="376"/>
      <c r="O27" s="376"/>
      <c r="P27" s="376"/>
      <c r="Q27" s="376"/>
      <c r="R27" s="376"/>
      <c r="S27" s="378"/>
      <c r="T27" s="378"/>
      <c r="U27" s="376"/>
      <c r="V27" s="376"/>
      <c r="W27" s="376"/>
      <c r="X27" s="376"/>
      <c r="Y27" s="376"/>
      <c r="Z27" s="376"/>
      <c r="AA27" s="376"/>
      <c r="AB27" s="376"/>
      <c r="AC27" s="376"/>
      <c r="AD27" s="376"/>
      <c r="AE27" s="376"/>
      <c r="AF27" s="376"/>
      <c r="AG27" s="376"/>
      <c r="AH27" s="376"/>
      <c r="AI27" s="376"/>
      <c r="AJ27" s="376"/>
      <c r="AK27" s="376"/>
      <c r="AL27" s="376"/>
      <c r="AM27" s="376"/>
      <c r="AN27" s="378"/>
      <c r="AO27" s="378"/>
      <c r="AP27" s="377"/>
      <c r="AQ27" s="376"/>
      <c r="AR27" s="376"/>
      <c r="AS27" s="376"/>
      <c r="AT27" s="376"/>
      <c r="AU27" s="376"/>
      <c r="AV27" s="376"/>
      <c r="AW27" s="376"/>
      <c r="AX27" s="376"/>
      <c r="AY27" s="376"/>
      <c r="AZ27" s="376"/>
      <c r="BA27" s="378"/>
      <c r="BB27" s="376"/>
      <c r="BC27" s="376"/>
      <c r="BD27" s="376"/>
      <c r="BE27" s="376"/>
      <c r="BF27" s="376"/>
      <c r="BG27" s="376"/>
      <c r="BH27" s="378"/>
      <c r="BI27" s="56"/>
      <c r="BJ27" s="56"/>
      <c r="BK27" s="56"/>
      <c r="BL27" s="56"/>
      <c r="BM27" s="56"/>
      <c r="BN27" s="56"/>
      <c r="BO27" s="56"/>
      <c r="BP27" s="56"/>
      <c r="BQ27" s="56"/>
      <c r="BR27" s="62"/>
      <c r="BS27" s="49"/>
      <c r="BT27" s="69">
        <f>SUM(B27:BR27)</f>
        <v>0</v>
      </c>
    </row>
    <row r="28" spans="1:72" ht="7.5" thickBot="1">
      <c r="A28" s="548"/>
      <c r="B28" s="376"/>
      <c r="C28" s="378"/>
      <c r="D28" s="376"/>
      <c r="E28" s="376"/>
      <c r="F28" s="376"/>
      <c r="G28" s="376"/>
      <c r="H28" s="376"/>
      <c r="I28" s="376"/>
      <c r="J28" s="376"/>
      <c r="K28" s="376"/>
      <c r="L28" s="376"/>
      <c r="M28" s="376"/>
      <c r="N28" s="376"/>
      <c r="O28" s="376"/>
      <c r="P28" s="376"/>
      <c r="Q28" s="376"/>
      <c r="R28" s="376"/>
      <c r="S28" s="378"/>
      <c r="T28" s="378"/>
      <c r="U28" s="379"/>
      <c r="V28" s="376"/>
      <c r="W28" s="376"/>
      <c r="X28" s="376"/>
      <c r="Y28" s="376"/>
      <c r="Z28" s="376"/>
      <c r="AA28" s="376"/>
      <c r="AB28" s="376"/>
      <c r="AC28" s="376"/>
      <c r="AD28" s="376"/>
      <c r="AE28" s="376"/>
      <c r="AF28" s="376"/>
      <c r="AG28" s="376"/>
      <c r="AH28" s="376"/>
      <c r="AI28" s="376"/>
      <c r="AJ28" s="376"/>
      <c r="AK28" s="376"/>
      <c r="AL28" s="376"/>
      <c r="AM28" s="376"/>
      <c r="AN28" s="378"/>
      <c r="AO28" s="378"/>
      <c r="AP28" s="377"/>
      <c r="AQ28" s="376"/>
      <c r="AR28" s="376"/>
      <c r="AS28" s="376"/>
      <c r="AT28" s="376"/>
      <c r="AU28" s="376"/>
      <c r="AV28" s="376"/>
      <c r="AW28" s="376"/>
      <c r="AX28" s="376"/>
      <c r="AY28" s="376"/>
      <c r="AZ28" s="376"/>
      <c r="BA28" s="376"/>
      <c r="BB28" s="376"/>
      <c r="BC28" s="376"/>
      <c r="BD28" s="376"/>
      <c r="BE28" s="376"/>
      <c r="BF28" s="376"/>
      <c r="BG28" s="376"/>
      <c r="BH28" s="378"/>
      <c r="BI28" s="56"/>
      <c r="BJ28" s="56"/>
      <c r="BK28" s="56"/>
      <c r="BL28" s="56"/>
      <c r="BM28" s="56"/>
      <c r="BN28" s="56"/>
      <c r="BO28" s="56"/>
      <c r="BP28" s="56"/>
      <c r="BQ28" s="56"/>
      <c r="BR28" s="62"/>
      <c r="BS28" s="49"/>
      <c r="BT28" s="69">
        <f>SUM(B28:BR28)</f>
        <v>0</v>
      </c>
    </row>
    <row r="29" spans="1:72" s="487" customFormat="1" hidden="1">
      <c r="A29" s="548"/>
      <c r="B29" s="376"/>
      <c r="C29" s="378"/>
      <c r="D29" s="376"/>
      <c r="E29" s="376"/>
      <c r="F29" s="376"/>
      <c r="G29" s="376"/>
      <c r="H29" s="376"/>
      <c r="I29" s="376"/>
      <c r="J29" s="376"/>
      <c r="K29" s="376"/>
      <c r="L29" s="376"/>
      <c r="M29" s="376"/>
      <c r="N29" s="376"/>
      <c r="O29" s="376"/>
      <c r="P29" s="376"/>
      <c r="Q29" s="376"/>
      <c r="R29" s="376"/>
      <c r="S29" s="378"/>
      <c r="T29" s="378"/>
      <c r="U29" s="379"/>
      <c r="V29" s="376"/>
      <c r="W29" s="376"/>
      <c r="X29" s="376"/>
      <c r="Y29" s="376"/>
      <c r="Z29" s="376"/>
      <c r="AA29" s="376"/>
      <c r="AB29" s="376"/>
      <c r="AC29" s="376"/>
      <c r="AD29" s="376"/>
      <c r="AE29" s="376"/>
      <c r="AF29" s="376"/>
      <c r="AG29" s="376"/>
      <c r="AH29" s="376"/>
      <c r="AI29" s="376"/>
      <c r="AJ29" s="376"/>
      <c r="AK29" s="376"/>
      <c r="AL29" s="376"/>
      <c r="AM29" s="376"/>
      <c r="AN29" s="378"/>
      <c r="AO29" s="378"/>
      <c r="AP29" s="377"/>
      <c r="AQ29" s="376"/>
      <c r="AR29" s="376"/>
      <c r="AS29" s="376"/>
      <c r="AT29" s="376"/>
      <c r="AU29" s="376"/>
      <c r="AV29" s="376"/>
      <c r="AW29" s="376"/>
      <c r="AX29" s="376"/>
      <c r="AY29" s="376"/>
      <c r="AZ29" s="376"/>
      <c r="BA29" s="376"/>
      <c r="BB29" s="376"/>
      <c r="BC29" s="376"/>
      <c r="BD29" s="376"/>
      <c r="BE29" s="376"/>
      <c r="BF29" s="376"/>
      <c r="BG29" s="376"/>
      <c r="BH29" s="378"/>
      <c r="BI29" s="483"/>
      <c r="BJ29" s="483"/>
      <c r="BK29" s="483"/>
      <c r="BL29" s="483"/>
      <c r="BM29" s="483"/>
      <c r="BN29" s="483"/>
      <c r="BO29" s="483"/>
      <c r="BP29" s="483"/>
      <c r="BQ29" s="483"/>
      <c r="BR29" s="484"/>
      <c r="BS29" s="485"/>
      <c r="BT29" s="486">
        <f t="shared" si="2"/>
        <v>0</v>
      </c>
    </row>
    <row r="30" spans="1:72" s="487" customFormat="1" hidden="1">
      <c r="A30" s="380"/>
      <c r="B30" s="376"/>
      <c r="C30" s="378"/>
      <c r="D30" s="376"/>
      <c r="E30" s="376"/>
      <c r="F30" s="376"/>
      <c r="G30" s="376"/>
      <c r="H30" s="376"/>
      <c r="I30" s="376"/>
      <c r="J30" s="376"/>
      <c r="K30" s="376"/>
      <c r="L30" s="376"/>
      <c r="M30" s="376"/>
      <c r="N30" s="376"/>
      <c r="O30" s="376"/>
      <c r="P30" s="376"/>
      <c r="Q30" s="376"/>
      <c r="R30" s="376"/>
      <c r="S30" s="378"/>
      <c r="T30" s="378"/>
      <c r="U30" s="379"/>
      <c r="V30" s="376"/>
      <c r="W30" s="376"/>
      <c r="X30" s="376"/>
      <c r="Y30" s="376"/>
      <c r="Z30" s="376"/>
      <c r="AA30" s="376"/>
      <c r="AB30" s="376"/>
      <c r="AC30" s="376"/>
      <c r="AD30" s="376"/>
      <c r="AE30" s="376"/>
      <c r="AF30" s="376"/>
      <c r="AG30" s="376"/>
      <c r="AH30" s="376"/>
      <c r="AI30" s="376"/>
      <c r="AJ30" s="376"/>
      <c r="AK30" s="376"/>
      <c r="AL30" s="376"/>
      <c r="AM30" s="376"/>
      <c r="AN30" s="378"/>
      <c r="AO30" s="378"/>
      <c r="AP30" s="377"/>
      <c r="AQ30" s="376"/>
      <c r="AR30" s="376"/>
      <c r="AS30" s="376"/>
      <c r="AT30" s="376"/>
      <c r="AU30" s="376"/>
      <c r="AV30" s="376"/>
      <c r="AW30" s="376"/>
      <c r="AX30" s="376"/>
      <c r="AY30" s="376"/>
      <c r="AZ30" s="376"/>
      <c r="BA30" s="376"/>
      <c r="BB30" s="376"/>
      <c r="BC30" s="376"/>
      <c r="BD30" s="376"/>
      <c r="BE30" s="376"/>
      <c r="BF30" s="376"/>
      <c r="BG30" s="376"/>
      <c r="BH30" s="378"/>
      <c r="BI30" s="483"/>
      <c r="BJ30" s="483"/>
      <c r="BK30" s="483"/>
      <c r="BL30" s="483"/>
      <c r="BM30" s="483"/>
      <c r="BN30" s="483"/>
      <c r="BO30" s="483"/>
      <c r="BP30" s="483"/>
      <c r="BQ30" s="483"/>
      <c r="BR30" s="484"/>
      <c r="BS30" s="485"/>
      <c r="BT30" s="486">
        <f t="shared" si="2"/>
        <v>0</v>
      </c>
    </row>
    <row r="31" spans="1:72" s="487" customFormat="1" hidden="1">
      <c r="A31" s="548"/>
      <c r="B31" s="376"/>
      <c r="C31" s="378"/>
      <c r="D31" s="376"/>
      <c r="E31" s="376"/>
      <c r="F31" s="376"/>
      <c r="G31" s="376"/>
      <c r="H31" s="376"/>
      <c r="I31" s="376"/>
      <c r="J31" s="376"/>
      <c r="K31" s="376"/>
      <c r="L31" s="376"/>
      <c r="M31" s="376"/>
      <c r="N31" s="376"/>
      <c r="O31" s="376"/>
      <c r="P31" s="376"/>
      <c r="Q31" s="376"/>
      <c r="R31" s="376"/>
      <c r="S31" s="378"/>
      <c r="T31" s="378"/>
      <c r="U31" s="379"/>
      <c r="V31" s="376"/>
      <c r="W31" s="376"/>
      <c r="X31" s="376"/>
      <c r="Y31" s="376"/>
      <c r="Z31" s="376"/>
      <c r="AA31" s="376"/>
      <c r="AB31" s="376"/>
      <c r="AC31" s="376"/>
      <c r="AD31" s="376"/>
      <c r="AE31" s="376"/>
      <c r="AF31" s="376"/>
      <c r="AG31" s="376"/>
      <c r="AH31" s="376"/>
      <c r="AI31" s="376"/>
      <c r="AJ31" s="376"/>
      <c r="AK31" s="376"/>
      <c r="AL31" s="376"/>
      <c r="AM31" s="376"/>
      <c r="AN31" s="378"/>
      <c r="AO31" s="378"/>
      <c r="AP31" s="377"/>
      <c r="AQ31" s="376"/>
      <c r="AR31" s="376"/>
      <c r="AS31" s="376"/>
      <c r="AT31" s="376"/>
      <c r="AU31" s="376"/>
      <c r="AV31" s="376"/>
      <c r="AW31" s="376"/>
      <c r="AX31" s="376"/>
      <c r="AY31" s="376"/>
      <c r="AZ31" s="376"/>
      <c r="BA31" s="376"/>
      <c r="BB31" s="376"/>
      <c r="BC31" s="376"/>
      <c r="BD31" s="376"/>
      <c r="BE31" s="376"/>
      <c r="BF31" s="376"/>
      <c r="BG31" s="376"/>
      <c r="BH31" s="378"/>
      <c r="BI31" s="483"/>
      <c r="BJ31" s="483"/>
      <c r="BK31" s="483"/>
      <c r="BL31" s="483"/>
      <c r="BM31" s="483"/>
      <c r="BN31" s="483"/>
      <c r="BO31" s="483"/>
      <c r="BP31" s="483"/>
      <c r="BQ31" s="483"/>
      <c r="BR31" s="484"/>
      <c r="BS31" s="485"/>
      <c r="BT31" s="486">
        <f t="shared" si="2"/>
        <v>0</v>
      </c>
    </row>
    <row r="32" spans="1:72" s="487" customFormat="1" hidden="1">
      <c r="A32" s="548"/>
      <c r="B32" s="376"/>
      <c r="C32" s="378"/>
      <c r="D32" s="376"/>
      <c r="E32" s="376"/>
      <c r="F32" s="376"/>
      <c r="G32" s="376"/>
      <c r="H32" s="376"/>
      <c r="I32" s="376"/>
      <c r="J32" s="376"/>
      <c r="K32" s="376"/>
      <c r="L32" s="376"/>
      <c r="M32" s="376"/>
      <c r="N32" s="376"/>
      <c r="O32" s="376"/>
      <c r="P32" s="376"/>
      <c r="Q32" s="376"/>
      <c r="R32" s="376"/>
      <c r="S32" s="378"/>
      <c r="T32" s="378"/>
      <c r="U32" s="379"/>
      <c r="V32" s="376"/>
      <c r="W32" s="376"/>
      <c r="X32" s="376"/>
      <c r="Y32" s="376"/>
      <c r="Z32" s="376"/>
      <c r="AA32" s="376"/>
      <c r="AB32" s="376"/>
      <c r="AC32" s="376"/>
      <c r="AD32" s="376"/>
      <c r="AE32" s="376"/>
      <c r="AF32" s="376"/>
      <c r="AG32" s="376"/>
      <c r="AH32" s="376"/>
      <c r="AI32" s="376"/>
      <c r="AJ32" s="376"/>
      <c r="AK32" s="376"/>
      <c r="AL32" s="376"/>
      <c r="AM32" s="376"/>
      <c r="AN32" s="378"/>
      <c r="AO32" s="378"/>
      <c r="AP32" s="377"/>
      <c r="AQ32" s="376"/>
      <c r="AR32" s="376"/>
      <c r="AS32" s="376"/>
      <c r="AT32" s="376"/>
      <c r="AU32" s="376"/>
      <c r="AV32" s="376"/>
      <c r="AW32" s="376"/>
      <c r="AX32" s="376"/>
      <c r="AY32" s="376"/>
      <c r="AZ32" s="376"/>
      <c r="BA32" s="376"/>
      <c r="BB32" s="376"/>
      <c r="BC32" s="376"/>
      <c r="BD32" s="376"/>
      <c r="BE32" s="376"/>
      <c r="BF32" s="376"/>
      <c r="BG32" s="376"/>
      <c r="BH32" s="378"/>
      <c r="BI32" s="483"/>
      <c r="BJ32" s="483"/>
      <c r="BK32" s="483"/>
      <c r="BL32" s="483"/>
      <c r="BM32" s="483"/>
      <c r="BN32" s="483"/>
      <c r="BO32" s="483"/>
      <c r="BP32" s="483"/>
      <c r="BQ32" s="483"/>
      <c r="BR32" s="484"/>
      <c r="BS32" s="485"/>
      <c r="BT32" s="486">
        <f t="shared" si="2"/>
        <v>0</v>
      </c>
    </row>
    <row r="33" spans="1:72" s="487" customFormat="1" hidden="1">
      <c r="A33" s="382"/>
      <c r="B33" s="383"/>
      <c r="C33" s="385"/>
      <c r="D33" s="383"/>
      <c r="E33" s="383"/>
      <c r="F33" s="383"/>
      <c r="G33" s="383"/>
      <c r="H33" s="383"/>
      <c r="I33" s="383"/>
      <c r="J33" s="383"/>
      <c r="K33" s="383"/>
      <c r="L33" s="383"/>
      <c r="M33" s="383"/>
      <c r="N33" s="383"/>
      <c r="O33" s="383"/>
      <c r="P33" s="383"/>
      <c r="Q33" s="383"/>
      <c r="R33" s="383"/>
      <c r="S33" s="385"/>
      <c r="T33" s="385"/>
      <c r="U33" s="418"/>
      <c r="V33" s="383"/>
      <c r="W33" s="383"/>
      <c r="X33" s="383"/>
      <c r="Y33" s="383"/>
      <c r="Z33" s="383"/>
      <c r="AA33" s="383"/>
      <c r="AB33" s="383"/>
      <c r="AC33" s="383"/>
      <c r="AD33" s="383"/>
      <c r="AE33" s="383"/>
      <c r="AF33" s="383"/>
      <c r="AG33" s="383"/>
      <c r="AH33" s="383"/>
      <c r="AI33" s="383"/>
      <c r="AJ33" s="383"/>
      <c r="AK33" s="383"/>
      <c r="AL33" s="383"/>
      <c r="AM33" s="383"/>
      <c r="AN33" s="385"/>
      <c r="AO33" s="385"/>
      <c r="AP33" s="384"/>
      <c r="AQ33" s="383"/>
      <c r="AR33" s="383"/>
      <c r="AS33" s="383"/>
      <c r="AT33" s="383"/>
      <c r="AU33" s="383"/>
      <c r="AV33" s="383"/>
      <c r="AW33" s="383"/>
      <c r="AX33" s="383"/>
      <c r="AY33" s="383"/>
      <c r="AZ33" s="383"/>
      <c r="BA33" s="383"/>
      <c r="BB33" s="383"/>
      <c r="BC33" s="383"/>
      <c r="BD33" s="383"/>
      <c r="BE33" s="383"/>
      <c r="BF33" s="383"/>
      <c r="BG33" s="383"/>
      <c r="BH33" s="385"/>
      <c r="BI33" s="483"/>
      <c r="BJ33" s="483"/>
      <c r="BK33" s="483"/>
      <c r="BL33" s="483"/>
      <c r="BM33" s="483"/>
      <c r="BN33" s="483"/>
      <c r="BO33" s="483"/>
      <c r="BP33" s="483"/>
      <c r="BQ33" s="483"/>
      <c r="BR33" s="484"/>
      <c r="BS33" s="485"/>
      <c r="BT33" s="486">
        <f>SUM(B33:BR33)</f>
        <v>0</v>
      </c>
    </row>
    <row r="34" spans="1:72" s="652" customFormat="1" hidden="1">
      <c r="A34" s="645"/>
      <c r="B34" s="646"/>
      <c r="C34" s="647"/>
      <c r="D34" s="646"/>
      <c r="E34" s="646"/>
      <c r="F34" s="646"/>
      <c r="G34" s="646"/>
      <c r="H34" s="646"/>
      <c r="I34" s="646"/>
      <c r="J34" s="646"/>
      <c r="K34" s="646"/>
      <c r="L34" s="646"/>
      <c r="M34" s="646"/>
      <c r="N34" s="646"/>
      <c r="O34" s="646"/>
      <c r="P34" s="646"/>
      <c r="Q34" s="646"/>
      <c r="R34" s="646"/>
      <c r="S34" s="647"/>
      <c r="T34" s="647"/>
      <c r="U34" s="428"/>
      <c r="V34" s="646"/>
      <c r="W34" s="646"/>
      <c r="X34" s="646"/>
      <c r="Y34" s="646"/>
      <c r="Z34" s="646"/>
      <c r="AA34" s="646"/>
      <c r="AB34" s="646"/>
      <c r="AC34" s="646"/>
      <c r="AD34" s="646"/>
      <c r="AE34" s="646"/>
      <c r="AF34" s="646"/>
      <c r="AG34" s="646"/>
      <c r="AH34" s="646"/>
      <c r="AI34" s="646"/>
      <c r="AJ34" s="646"/>
      <c r="AK34" s="646"/>
      <c r="AL34" s="646"/>
      <c r="AM34" s="646"/>
      <c r="AN34" s="647"/>
      <c r="AO34" s="647"/>
      <c r="AP34" s="648"/>
      <c r="AQ34" s="646"/>
      <c r="AR34" s="646"/>
      <c r="AS34" s="646"/>
      <c r="AT34" s="646"/>
      <c r="AU34" s="646"/>
      <c r="AV34" s="646"/>
      <c r="AW34" s="646"/>
      <c r="AX34" s="646"/>
      <c r="AY34" s="646"/>
      <c r="AZ34" s="646"/>
      <c r="BA34" s="646"/>
      <c r="BB34" s="646"/>
      <c r="BC34" s="646"/>
      <c r="BD34" s="646"/>
      <c r="BE34" s="646"/>
      <c r="BF34" s="646"/>
      <c r="BG34" s="646"/>
      <c r="BH34" s="646"/>
      <c r="BI34" s="649"/>
      <c r="BJ34" s="649"/>
      <c r="BK34" s="649"/>
      <c r="BL34" s="649"/>
      <c r="BM34" s="649"/>
      <c r="BN34" s="649"/>
      <c r="BO34" s="649"/>
      <c r="BP34" s="649"/>
      <c r="BQ34" s="649"/>
      <c r="BR34" s="650"/>
      <c r="BS34" s="651"/>
      <c r="BT34" s="486">
        <f t="shared" ref="BT34:BT40" si="3">SUM(B34:BR34)</f>
        <v>0</v>
      </c>
    </row>
    <row r="35" spans="1:72" s="487" customFormat="1" hidden="1">
      <c r="A35" s="548"/>
      <c r="B35" s="376"/>
      <c r="C35" s="378"/>
      <c r="D35" s="376"/>
      <c r="E35" s="376"/>
      <c r="F35" s="376"/>
      <c r="G35" s="376"/>
      <c r="H35" s="376"/>
      <c r="I35" s="376"/>
      <c r="J35" s="376"/>
      <c r="K35" s="376"/>
      <c r="L35" s="376"/>
      <c r="M35" s="376"/>
      <c r="N35" s="376"/>
      <c r="O35" s="376"/>
      <c r="P35" s="376"/>
      <c r="Q35" s="376"/>
      <c r="R35" s="376"/>
      <c r="S35" s="378"/>
      <c r="T35" s="378"/>
      <c r="U35" s="379"/>
      <c r="V35" s="376"/>
      <c r="W35" s="376"/>
      <c r="X35" s="376"/>
      <c r="Y35" s="376"/>
      <c r="Z35" s="376"/>
      <c r="AA35" s="376"/>
      <c r="AB35" s="376"/>
      <c r="AC35" s="376"/>
      <c r="AD35" s="376"/>
      <c r="AE35" s="376"/>
      <c r="AF35" s="376"/>
      <c r="AG35" s="376"/>
      <c r="AH35" s="376"/>
      <c r="AI35" s="376"/>
      <c r="AJ35" s="376"/>
      <c r="AK35" s="376"/>
      <c r="AL35" s="376"/>
      <c r="AM35" s="376"/>
      <c r="AN35" s="378"/>
      <c r="AO35" s="378"/>
      <c r="AP35" s="377"/>
      <c r="AQ35" s="376"/>
      <c r="AR35" s="376"/>
      <c r="AS35" s="376"/>
      <c r="AT35" s="376"/>
      <c r="AU35" s="376"/>
      <c r="AV35" s="376"/>
      <c r="AW35" s="376"/>
      <c r="AX35" s="376"/>
      <c r="AY35" s="376"/>
      <c r="AZ35" s="376"/>
      <c r="BA35" s="376"/>
      <c r="BB35" s="376"/>
      <c r="BC35" s="376"/>
      <c r="BD35" s="376"/>
      <c r="BE35" s="376"/>
      <c r="BF35" s="376"/>
      <c r="BG35" s="376"/>
      <c r="BH35" s="378"/>
      <c r="BI35" s="483"/>
      <c r="BJ35" s="483"/>
      <c r="BK35" s="483"/>
      <c r="BL35" s="483"/>
      <c r="BM35" s="483"/>
      <c r="BN35" s="483"/>
      <c r="BO35" s="483"/>
      <c r="BP35" s="483"/>
      <c r="BQ35" s="483"/>
      <c r="BR35" s="484"/>
      <c r="BS35" s="485"/>
      <c r="BT35" s="486">
        <f t="shared" si="3"/>
        <v>0</v>
      </c>
    </row>
    <row r="36" spans="1:72" s="487" customFormat="1" hidden="1">
      <c r="A36" s="548"/>
      <c r="B36" s="376"/>
      <c r="C36" s="378"/>
      <c r="D36" s="376"/>
      <c r="E36" s="376"/>
      <c r="F36" s="376"/>
      <c r="G36" s="376"/>
      <c r="H36" s="376"/>
      <c r="I36" s="376"/>
      <c r="J36" s="376"/>
      <c r="K36" s="376"/>
      <c r="L36" s="376"/>
      <c r="M36" s="376"/>
      <c r="N36" s="376"/>
      <c r="O36" s="376"/>
      <c r="P36" s="376"/>
      <c r="Q36" s="376"/>
      <c r="R36" s="376"/>
      <c r="S36" s="378"/>
      <c r="T36" s="378"/>
      <c r="U36" s="379"/>
      <c r="V36" s="376"/>
      <c r="W36" s="376"/>
      <c r="X36" s="376"/>
      <c r="Y36" s="376"/>
      <c r="Z36" s="376"/>
      <c r="AA36" s="376"/>
      <c r="AB36" s="376"/>
      <c r="AC36" s="376"/>
      <c r="AD36" s="376"/>
      <c r="AE36" s="376"/>
      <c r="AF36" s="376"/>
      <c r="AG36" s="376"/>
      <c r="AH36" s="376"/>
      <c r="AI36" s="376"/>
      <c r="AJ36" s="376"/>
      <c r="AK36" s="376"/>
      <c r="AL36" s="376"/>
      <c r="AM36" s="376"/>
      <c r="AN36" s="378"/>
      <c r="AO36" s="378"/>
      <c r="AP36" s="377"/>
      <c r="AQ36" s="376"/>
      <c r="AR36" s="376"/>
      <c r="AS36" s="376"/>
      <c r="AT36" s="376"/>
      <c r="AU36" s="376"/>
      <c r="AV36" s="376"/>
      <c r="AW36" s="376"/>
      <c r="AX36" s="376"/>
      <c r="AY36" s="376"/>
      <c r="AZ36" s="376"/>
      <c r="BA36" s="376"/>
      <c r="BB36" s="376"/>
      <c r="BC36" s="376"/>
      <c r="BD36" s="376"/>
      <c r="BE36" s="376"/>
      <c r="BF36" s="376"/>
      <c r="BG36" s="376"/>
      <c r="BH36" s="378"/>
      <c r="BI36" s="483"/>
      <c r="BJ36" s="483"/>
      <c r="BK36" s="483"/>
      <c r="BL36" s="483"/>
      <c r="BM36" s="483"/>
      <c r="BN36" s="483"/>
      <c r="BO36" s="483"/>
      <c r="BP36" s="483"/>
      <c r="BQ36" s="483"/>
      <c r="BR36" s="484"/>
      <c r="BS36" s="485"/>
      <c r="BT36" s="486">
        <f t="shared" si="3"/>
        <v>0</v>
      </c>
    </row>
    <row r="37" spans="1:72" s="487" customFormat="1" hidden="1">
      <c r="A37" s="548"/>
      <c r="B37" s="376"/>
      <c r="C37" s="378"/>
      <c r="D37" s="376"/>
      <c r="E37" s="376"/>
      <c r="F37" s="376"/>
      <c r="G37" s="376"/>
      <c r="H37" s="376"/>
      <c r="I37" s="376"/>
      <c r="J37" s="376"/>
      <c r="K37" s="376"/>
      <c r="L37" s="376"/>
      <c r="M37" s="376"/>
      <c r="N37" s="376"/>
      <c r="O37" s="376"/>
      <c r="P37" s="376"/>
      <c r="Q37" s="376"/>
      <c r="R37" s="376"/>
      <c r="S37" s="378"/>
      <c r="T37" s="378"/>
      <c r="U37" s="379"/>
      <c r="V37" s="376"/>
      <c r="W37" s="376"/>
      <c r="X37" s="376"/>
      <c r="Y37" s="376"/>
      <c r="Z37" s="376"/>
      <c r="AA37" s="376"/>
      <c r="AB37" s="376"/>
      <c r="AC37" s="376"/>
      <c r="AD37" s="376"/>
      <c r="AE37" s="376"/>
      <c r="AF37" s="376"/>
      <c r="AG37" s="376"/>
      <c r="AH37" s="376"/>
      <c r="AI37" s="376"/>
      <c r="AJ37" s="376"/>
      <c r="AK37" s="376"/>
      <c r="AL37" s="376"/>
      <c r="AM37" s="376"/>
      <c r="AN37" s="378"/>
      <c r="AO37" s="378"/>
      <c r="AP37" s="377"/>
      <c r="AQ37" s="376"/>
      <c r="AR37" s="376"/>
      <c r="AS37" s="376"/>
      <c r="AT37" s="376"/>
      <c r="AU37" s="376"/>
      <c r="AV37" s="376"/>
      <c r="AW37" s="376"/>
      <c r="AX37" s="376"/>
      <c r="AY37" s="376"/>
      <c r="AZ37" s="376"/>
      <c r="BA37" s="376"/>
      <c r="BB37" s="376"/>
      <c r="BC37" s="376"/>
      <c r="BD37" s="376"/>
      <c r="BE37" s="376"/>
      <c r="BF37" s="376"/>
      <c r="BG37" s="376"/>
      <c r="BH37" s="378"/>
      <c r="BI37" s="483"/>
      <c r="BJ37" s="483"/>
      <c r="BK37" s="483"/>
      <c r="BL37" s="483"/>
      <c r="BM37" s="483"/>
      <c r="BN37" s="483"/>
      <c r="BO37" s="483"/>
      <c r="BP37" s="483"/>
      <c r="BQ37" s="483"/>
      <c r="BR37" s="484"/>
      <c r="BS37" s="485"/>
      <c r="BT37" s="486">
        <f t="shared" si="3"/>
        <v>0</v>
      </c>
    </row>
    <row r="38" spans="1:72" s="487" customFormat="1" hidden="1">
      <c r="A38" s="548"/>
      <c r="B38" s="376"/>
      <c r="C38" s="378"/>
      <c r="D38" s="376"/>
      <c r="E38" s="376"/>
      <c r="F38" s="376"/>
      <c r="G38" s="376"/>
      <c r="H38" s="376"/>
      <c r="I38" s="376"/>
      <c r="J38" s="376"/>
      <c r="K38" s="376"/>
      <c r="L38" s="376"/>
      <c r="M38" s="376"/>
      <c r="N38" s="376"/>
      <c r="O38" s="376"/>
      <c r="P38" s="376"/>
      <c r="Q38" s="376"/>
      <c r="R38" s="376"/>
      <c r="S38" s="378"/>
      <c r="T38" s="378"/>
      <c r="U38" s="379"/>
      <c r="V38" s="376"/>
      <c r="W38" s="376"/>
      <c r="X38" s="376"/>
      <c r="Y38" s="376"/>
      <c r="Z38" s="376"/>
      <c r="AA38" s="376"/>
      <c r="AB38" s="376"/>
      <c r="AC38" s="376"/>
      <c r="AD38" s="376"/>
      <c r="AE38" s="376"/>
      <c r="AF38" s="376"/>
      <c r="AG38" s="376"/>
      <c r="AH38" s="376"/>
      <c r="AI38" s="376"/>
      <c r="AJ38" s="376"/>
      <c r="AK38" s="376"/>
      <c r="AL38" s="376"/>
      <c r="AM38" s="376"/>
      <c r="AN38" s="378"/>
      <c r="AO38" s="378"/>
      <c r="AP38" s="377"/>
      <c r="AQ38" s="376"/>
      <c r="AR38" s="376"/>
      <c r="AS38" s="376"/>
      <c r="AT38" s="376"/>
      <c r="AU38" s="376"/>
      <c r="AV38" s="376"/>
      <c r="AW38" s="376"/>
      <c r="AX38" s="376"/>
      <c r="AY38" s="376"/>
      <c r="AZ38" s="376"/>
      <c r="BA38" s="376"/>
      <c r="BB38" s="376"/>
      <c r="BC38" s="376"/>
      <c r="BD38" s="376"/>
      <c r="BE38" s="376"/>
      <c r="BF38" s="376"/>
      <c r="BG38" s="376"/>
      <c r="BH38" s="378"/>
      <c r="BI38" s="483"/>
      <c r="BJ38" s="483"/>
      <c r="BK38" s="483"/>
      <c r="BL38" s="483"/>
      <c r="BM38" s="483"/>
      <c r="BN38" s="483"/>
      <c r="BO38" s="483"/>
      <c r="BP38" s="483"/>
      <c r="BQ38" s="483"/>
      <c r="BR38" s="484"/>
      <c r="BS38" s="485"/>
      <c r="BT38" s="486">
        <f t="shared" si="3"/>
        <v>0</v>
      </c>
    </row>
    <row r="39" spans="1:72" s="487" customFormat="1" hidden="1">
      <c r="A39" s="548"/>
      <c r="B39" s="376"/>
      <c r="C39" s="378"/>
      <c r="D39" s="376"/>
      <c r="E39" s="376"/>
      <c r="F39" s="376"/>
      <c r="G39" s="376"/>
      <c r="H39" s="376"/>
      <c r="I39" s="376"/>
      <c r="J39" s="376"/>
      <c r="K39" s="376"/>
      <c r="L39" s="376"/>
      <c r="M39" s="376"/>
      <c r="N39" s="376"/>
      <c r="O39" s="376"/>
      <c r="P39" s="376"/>
      <c r="Q39" s="376"/>
      <c r="R39" s="376"/>
      <c r="S39" s="378"/>
      <c r="T39" s="378"/>
      <c r="U39" s="379"/>
      <c r="V39" s="376"/>
      <c r="W39" s="376"/>
      <c r="X39" s="376"/>
      <c r="Y39" s="376"/>
      <c r="Z39" s="376"/>
      <c r="AA39" s="376"/>
      <c r="AB39" s="376"/>
      <c r="AC39" s="376"/>
      <c r="AD39" s="376"/>
      <c r="AE39" s="376"/>
      <c r="AF39" s="376"/>
      <c r="AG39" s="376"/>
      <c r="AH39" s="376"/>
      <c r="AI39" s="376"/>
      <c r="AJ39" s="376"/>
      <c r="AK39" s="376"/>
      <c r="AL39" s="376"/>
      <c r="AM39" s="376"/>
      <c r="AN39" s="378"/>
      <c r="AO39" s="378"/>
      <c r="AP39" s="377"/>
      <c r="AQ39" s="376"/>
      <c r="AR39" s="376"/>
      <c r="AS39" s="376"/>
      <c r="AT39" s="376"/>
      <c r="AU39" s="376"/>
      <c r="AV39" s="376"/>
      <c r="AW39" s="376"/>
      <c r="AX39" s="376"/>
      <c r="AY39" s="376"/>
      <c r="AZ39" s="376"/>
      <c r="BA39" s="376"/>
      <c r="BB39" s="376"/>
      <c r="BC39" s="376"/>
      <c r="BD39" s="376"/>
      <c r="BE39" s="376"/>
      <c r="BF39" s="376"/>
      <c r="BG39" s="376"/>
      <c r="BH39" s="378"/>
      <c r="BI39" s="483"/>
      <c r="BJ39" s="483"/>
      <c r="BK39" s="483"/>
      <c r="BL39" s="483"/>
      <c r="BM39" s="483"/>
      <c r="BN39" s="483"/>
      <c r="BO39" s="483"/>
      <c r="BP39" s="483"/>
      <c r="BQ39" s="483"/>
      <c r="BR39" s="484"/>
      <c r="BS39" s="485"/>
      <c r="BT39" s="486">
        <f t="shared" si="3"/>
        <v>0</v>
      </c>
    </row>
    <row r="40" spans="1:72" s="487" customFormat="1" ht="7.5" hidden="1" thickBot="1">
      <c r="A40" s="380"/>
      <c r="B40" s="376"/>
      <c r="C40" s="378"/>
      <c r="D40" s="376"/>
      <c r="E40" s="376"/>
      <c r="F40" s="376"/>
      <c r="G40" s="376"/>
      <c r="H40" s="376"/>
      <c r="I40" s="376"/>
      <c r="J40" s="376"/>
      <c r="K40" s="376"/>
      <c r="L40" s="376"/>
      <c r="M40" s="376"/>
      <c r="N40" s="376"/>
      <c r="O40" s="376"/>
      <c r="P40" s="376"/>
      <c r="Q40" s="376"/>
      <c r="R40" s="376"/>
      <c r="S40" s="378"/>
      <c r="T40" s="378"/>
      <c r="U40" s="379"/>
      <c r="V40" s="376"/>
      <c r="W40" s="376"/>
      <c r="X40" s="376"/>
      <c r="Y40" s="376"/>
      <c r="Z40" s="376"/>
      <c r="AA40" s="376"/>
      <c r="AB40" s="376"/>
      <c r="AC40" s="376"/>
      <c r="AD40" s="376"/>
      <c r="AE40" s="376"/>
      <c r="AF40" s="376"/>
      <c r="AG40" s="376"/>
      <c r="AH40" s="376"/>
      <c r="AI40" s="376"/>
      <c r="AJ40" s="376"/>
      <c r="AK40" s="376"/>
      <c r="AL40" s="376"/>
      <c r="AM40" s="376"/>
      <c r="AN40" s="378"/>
      <c r="AO40" s="378"/>
      <c r="AP40" s="377"/>
      <c r="AQ40" s="376"/>
      <c r="AR40" s="376"/>
      <c r="AS40" s="376"/>
      <c r="AT40" s="376"/>
      <c r="AU40" s="376"/>
      <c r="AV40" s="376"/>
      <c r="AW40" s="376"/>
      <c r="AX40" s="376"/>
      <c r="AY40" s="376"/>
      <c r="AZ40" s="376"/>
      <c r="BA40" s="376"/>
      <c r="BB40" s="376"/>
      <c r="BC40" s="376"/>
      <c r="BD40" s="376"/>
      <c r="BE40" s="376"/>
      <c r="BF40" s="376"/>
      <c r="BG40" s="376"/>
      <c r="BH40" s="378"/>
      <c r="BI40" s="483"/>
      <c r="BJ40" s="483"/>
      <c r="BK40" s="483"/>
      <c r="BL40" s="483"/>
      <c r="BM40" s="483"/>
      <c r="BN40" s="483"/>
      <c r="BO40" s="483"/>
      <c r="BP40" s="483"/>
      <c r="BQ40" s="483"/>
      <c r="BR40" s="484"/>
      <c r="BS40" s="485"/>
      <c r="BT40" s="486">
        <f t="shared" si="3"/>
        <v>0</v>
      </c>
    </row>
    <row r="41" spans="1:72" ht="11.5" thickTop="1" thickBot="1">
      <c r="A41" s="127" t="s">
        <v>82</v>
      </c>
      <c r="B41" s="63">
        <f t="shared" ref="B41:J41" si="4">SUM(B6:B38)</f>
        <v>0</v>
      </c>
      <c r="C41" s="91">
        <f t="shared" si="4"/>
        <v>0</v>
      </c>
      <c r="D41" s="63">
        <f t="shared" si="4"/>
        <v>0</v>
      </c>
      <c r="E41" s="63">
        <f t="shared" si="4"/>
        <v>0</v>
      </c>
      <c r="F41" s="63">
        <f t="shared" si="4"/>
        <v>0</v>
      </c>
      <c r="G41" s="63">
        <f t="shared" si="4"/>
        <v>0</v>
      </c>
      <c r="H41" s="63">
        <f t="shared" si="4"/>
        <v>100</v>
      </c>
      <c r="I41" s="63">
        <f t="shared" si="4"/>
        <v>0</v>
      </c>
      <c r="J41" s="63">
        <f t="shared" si="4"/>
        <v>10</v>
      </c>
      <c r="K41" s="63">
        <f t="shared" ref="K41:W41" si="5">SUM(K6:K38)</f>
        <v>11.2</v>
      </c>
      <c r="L41" s="63">
        <f t="shared" si="5"/>
        <v>0</v>
      </c>
      <c r="M41" s="63">
        <f>SUM(M6:M38)</f>
        <v>0</v>
      </c>
      <c r="N41" s="63">
        <f>SUM(N6:N38)</f>
        <v>0</v>
      </c>
      <c r="O41" s="63">
        <f>SUM(O6:O38)</f>
        <v>0</v>
      </c>
      <c r="P41" s="63">
        <f t="shared" si="5"/>
        <v>0</v>
      </c>
      <c r="Q41" s="63">
        <f t="shared" si="5"/>
        <v>0</v>
      </c>
      <c r="R41" s="63">
        <f t="shared" si="5"/>
        <v>0</v>
      </c>
      <c r="S41" s="91">
        <f t="shared" si="5"/>
        <v>0</v>
      </c>
      <c r="T41" s="91">
        <f t="shared" si="5"/>
        <v>0</v>
      </c>
      <c r="U41" s="260">
        <f t="shared" si="5"/>
        <v>95</v>
      </c>
      <c r="V41" s="63">
        <f t="shared" si="5"/>
        <v>0</v>
      </c>
      <c r="W41" s="63">
        <f t="shared" si="5"/>
        <v>0</v>
      </c>
      <c r="X41" s="63">
        <f t="shared" ref="X41:BR41" si="6">SUM(X6:X38)</f>
        <v>0</v>
      </c>
      <c r="Y41" s="63">
        <f t="shared" si="6"/>
        <v>0</v>
      </c>
      <c r="Z41" s="63">
        <f t="shared" si="6"/>
        <v>0</v>
      </c>
      <c r="AA41" s="63">
        <f t="shared" si="6"/>
        <v>0</v>
      </c>
      <c r="AB41" s="63">
        <f t="shared" si="6"/>
        <v>0</v>
      </c>
      <c r="AC41" s="63">
        <f t="shared" si="6"/>
        <v>0</v>
      </c>
      <c r="AD41" s="63">
        <f t="shared" si="6"/>
        <v>0</v>
      </c>
      <c r="AE41" s="63">
        <f t="shared" si="6"/>
        <v>0</v>
      </c>
      <c r="AF41" s="63">
        <f>SUM(AF6:AF40)</f>
        <v>0</v>
      </c>
      <c r="AG41" s="63">
        <f t="shared" si="6"/>
        <v>0</v>
      </c>
      <c r="AH41" s="63">
        <f t="shared" si="6"/>
        <v>0</v>
      </c>
      <c r="AI41" s="63">
        <f t="shared" si="6"/>
        <v>0</v>
      </c>
      <c r="AJ41" s="63">
        <f t="shared" si="6"/>
        <v>0</v>
      </c>
      <c r="AK41" s="63">
        <f t="shared" si="6"/>
        <v>0</v>
      </c>
      <c r="AL41" s="63">
        <f t="shared" si="6"/>
        <v>0</v>
      </c>
      <c r="AM41" s="63">
        <f t="shared" si="6"/>
        <v>0</v>
      </c>
      <c r="AN41" s="91">
        <f t="shared" si="6"/>
        <v>0</v>
      </c>
      <c r="AO41" s="91">
        <f>SUM(AO6:AO40)</f>
        <v>0</v>
      </c>
      <c r="AP41" s="125">
        <f t="shared" si="6"/>
        <v>0</v>
      </c>
      <c r="AQ41" s="63">
        <f t="shared" si="6"/>
        <v>0</v>
      </c>
      <c r="AR41" s="63">
        <f t="shared" si="6"/>
        <v>0</v>
      </c>
      <c r="AS41" s="63">
        <f t="shared" si="6"/>
        <v>0</v>
      </c>
      <c r="AT41" s="63">
        <f t="shared" si="6"/>
        <v>0</v>
      </c>
      <c r="AU41" s="63">
        <f t="shared" si="6"/>
        <v>0</v>
      </c>
      <c r="AV41" s="63">
        <f t="shared" si="6"/>
        <v>0</v>
      </c>
      <c r="AW41" s="63">
        <f t="shared" si="6"/>
        <v>0</v>
      </c>
      <c r="AX41" s="63">
        <f t="shared" si="6"/>
        <v>0</v>
      </c>
      <c r="AY41" s="63">
        <f t="shared" si="6"/>
        <v>0</v>
      </c>
      <c r="AZ41" s="63">
        <f t="shared" si="6"/>
        <v>0</v>
      </c>
      <c r="BA41" s="63">
        <f t="shared" si="6"/>
        <v>0</v>
      </c>
      <c r="BB41" s="63">
        <f t="shared" si="6"/>
        <v>0</v>
      </c>
      <c r="BC41" s="63">
        <f t="shared" si="6"/>
        <v>71.47</v>
      </c>
      <c r="BD41" s="63">
        <f>SUM(BD6:BD38)</f>
        <v>0</v>
      </c>
      <c r="BE41" s="63">
        <f>SUM(BE6:BE38)</f>
        <v>0</v>
      </c>
      <c r="BF41" s="63">
        <f t="shared" si="6"/>
        <v>0</v>
      </c>
      <c r="BG41" s="63">
        <f t="shared" si="6"/>
        <v>0</v>
      </c>
      <c r="BH41" s="63">
        <f t="shared" si="6"/>
        <v>0</v>
      </c>
      <c r="BI41" s="63">
        <f t="shared" si="6"/>
        <v>0</v>
      </c>
      <c r="BJ41" s="63">
        <f t="shared" si="6"/>
        <v>0</v>
      </c>
      <c r="BK41" s="63">
        <f t="shared" si="6"/>
        <v>0</v>
      </c>
      <c r="BL41" s="63">
        <f t="shared" si="6"/>
        <v>0</v>
      </c>
      <c r="BM41" s="63">
        <f t="shared" si="6"/>
        <v>0</v>
      </c>
      <c r="BN41" s="63">
        <f t="shared" si="6"/>
        <v>0</v>
      </c>
      <c r="BO41" s="63">
        <f t="shared" si="6"/>
        <v>0</v>
      </c>
      <c r="BP41" s="63">
        <f t="shared" si="6"/>
        <v>0</v>
      </c>
      <c r="BQ41" s="63">
        <f>SUM(BQ6:BQ38)</f>
        <v>0</v>
      </c>
      <c r="BR41" s="132">
        <f t="shared" si="6"/>
        <v>0</v>
      </c>
      <c r="BS41" s="49"/>
      <c r="BT41" s="295">
        <f>SUM(B41:BR41)</f>
        <v>287.66999999999996</v>
      </c>
    </row>
    <row r="42" spans="1:72" ht="11.5" thickTop="1" thickBot="1">
      <c r="A42" s="134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</row>
    <row r="43" spans="1:72" s="241" customFormat="1" ht="11" thickTop="1">
      <c r="A43" s="242" t="s">
        <v>132</v>
      </c>
      <c r="B43" s="18" t="str">
        <f>B$4</f>
        <v>Insurance</v>
      </c>
      <c r="C43" s="13" t="str">
        <f t="shared" ref="C43:BQ43" si="7">C$4</f>
        <v>Licence</v>
      </c>
      <c r="D43" s="18" t="str">
        <f t="shared" si="7"/>
        <v>Mooring</v>
      </c>
      <c r="E43" s="18" t="str">
        <f t="shared" si="7"/>
        <v>PB</v>
      </c>
      <c r="F43" s="18" t="str">
        <f t="shared" si="7"/>
        <v>JGB</v>
      </c>
      <c r="G43" s="18" t="str">
        <f t="shared" si="7"/>
        <v>CJ/DJ</v>
      </c>
      <c r="H43" s="18" t="str">
        <f t="shared" si="7"/>
        <v>Atlass</v>
      </c>
      <c r="I43" s="18" t="str">
        <f t="shared" si="7"/>
        <v>Atlass</v>
      </c>
      <c r="J43" s="18" t="str">
        <f t="shared" si="7"/>
        <v>Faulkner</v>
      </c>
      <c r="K43" s="18" t="str">
        <f t="shared" si="7"/>
        <v>PB</v>
      </c>
      <c r="L43" s="18" t="str">
        <f t="shared" si="7"/>
        <v>PB</v>
      </c>
      <c r="M43" s="18" t="str">
        <f t="shared" si="7"/>
        <v>DJB</v>
      </c>
      <c r="N43" s="18" t="str">
        <f t="shared" si="7"/>
        <v>unscheduled</v>
      </c>
      <c r="O43" s="18" t="str">
        <f t="shared" si="7"/>
        <v>unscheduled</v>
      </c>
      <c r="P43" s="18" t="str">
        <f t="shared" si="7"/>
        <v>unscheduled</v>
      </c>
      <c r="Q43" s="18" t="str">
        <f t="shared" si="7"/>
        <v>unscheduled</v>
      </c>
      <c r="R43" s="18" t="str">
        <f t="shared" si="7"/>
        <v>unscheduled</v>
      </c>
      <c r="S43" s="18" t="str">
        <f t="shared" si="7"/>
        <v>unscheduled</v>
      </c>
      <c r="T43" s="18" t="str">
        <f t="shared" si="7"/>
        <v>unscheduled</v>
      </c>
      <c r="U43" s="18" t="str">
        <f t="shared" si="7"/>
        <v>JGC</v>
      </c>
      <c r="V43" s="18" t="str">
        <f t="shared" si="7"/>
        <v>unscheduled</v>
      </c>
      <c r="W43" s="18" t="str">
        <f t="shared" si="7"/>
        <v>unscheduled</v>
      </c>
      <c r="X43" s="18" t="str">
        <f t="shared" si="7"/>
        <v>unscheduled</v>
      </c>
      <c r="Y43" s="18" t="str">
        <f t="shared" si="7"/>
        <v>D Kee</v>
      </c>
      <c r="Z43" s="18" t="str">
        <f t="shared" si="7"/>
        <v>unscheduled</v>
      </c>
      <c r="AA43" s="18" t="str">
        <f t="shared" si="7"/>
        <v>unscheduled</v>
      </c>
      <c r="AB43" s="18" t="str">
        <f t="shared" si="7"/>
        <v>unscheduled</v>
      </c>
      <c r="AC43" s="18" t="str">
        <f t="shared" si="7"/>
        <v>PB</v>
      </c>
      <c r="AD43" s="18" t="str">
        <f t="shared" si="7"/>
        <v>Atlass</v>
      </c>
      <c r="AE43" s="18" t="str">
        <f t="shared" si="7"/>
        <v>CJ?DJ</v>
      </c>
      <c r="AF43" s="18" t="str">
        <f t="shared" si="7"/>
        <v>unscheduled</v>
      </c>
      <c r="AG43" s="18" t="str">
        <f t="shared" si="7"/>
        <v>PB</v>
      </c>
      <c r="AH43" s="18" t="str">
        <f t="shared" si="7"/>
        <v>CJ/DJ</v>
      </c>
      <c r="AI43" s="18" t="str">
        <f t="shared" si="7"/>
        <v>Fisher</v>
      </c>
      <c r="AJ43" s="18" t="str">
        <f t="shared" si="7"/>
        <v>unscheduled</v>
      </c>
      <c r="AK43" s="18" t="str">
        <f t="shared" si="7"/>
        <v>unscheduled</v>
      </c>
      <c r="AL43" s="18" t="str">
        <f t="shared" si="7"/>
        <v>unscheduled</v>
      </c>
      <c r="AM43" s="18" t="str">
        <f t="shared" si="7"/>
        <v>unscheduled</v>
      </c>
      <c r="AN43" s="13" t="str">
        <f t="shared" si="7"/>
        <v>unscheduled</v>
      </c>
      <c r="AO43" s="13" t="str">
        <f t="shared" si="7"/>
        <v>unscheduled</v>
      </c>
      <c r="AP43" s="21" t="str">
        <f t="shared" si="7"/>
        <v>unscheduled</v>
      </c>
      <c r="AQ43" s="18" t="str">
        <f t="shared" si="7"/>
        <v>unscheduled</v>
      </c>
      <c r="AR43" s="18" t="str">
        <f t="shared" si="7"/>
        <v>CJ/DJ</v>
      </c>
      <c r="AS43" s="18" t="str">
        <f t="shared" si="7"/>
        <v>unscheduled</v>
      </c>
      <c r="AT43" s="18" t="str">
        <f t="shared" si="7"/>
        <v>Atlass</v>
      </c>
      <c r="AU43" s="18" t="str">
        <f t="shared" si="7"/>
        <v>unscheduled</v>
      </c>
      <c r="AV43" s="18" t="str">
        <f t="shared" si="7"/>
        <v>unscheduled</v>
      </c>
      <c r="AW43" s="18" t="str">
        <f t="shared" si="7"/>
        <v>unscheduled</v>
      </c>
      <c r="AX43" s="18" t="str">
        <f t="shared" si="7"/>
        <v>unscheduled</v>
      </c>
      <c r="AY43" s="18" t="str">
        <f t="shared" si="7"/>
        <v>DJB</v>
      </c>
      <c r="AZ43" s="18" t="str">
        <f t="shared" si="7"/>
        <v>unscheduled</v>
      </c>
      <c r="BA43" s="18" t="str">
        <f t="shared" si="7"/>
        <v>unscheduled</v>
      </c>
      <c r="BB43" s="18" t="str">
        <f t="shared" si="7"/>
        <v>unscheduled</v>
      </c>
      <c r="BC43" s="18" t="str">
        <f t="shared" si="7"/>
        <v>D Kee</v>
      </c>
      <c r="BD43" s="18" t="str">
        <f t="shared" si="7"/>
        <v>unscheduled</v>
      </c>
      <c r="BE43" s="18" t="str">
        <f t="shared" si="7"/>
        <v>unscheduled</v>
      </c>
      <c r="BF43" s="18" t="str">
        <f t="shared" si="7"/>
        <v>unscheduled</v>
      </c>
      <c r="BG43" s="18" t="str">
        <f t="shared" si="7"/>
        <v>unscheduled</v>
      </c>
      <c r="BH43" s="18">
        <f t="shared" si="7"/>
        <v>0</v>
      </c>
      <c r="BI43" s="18">
        <f t="shared" si="7"/>
        <v>0</v>
      </c>
      <c r="BJ43" s="18">
        <f t="shared" si="7"/>
        <v>0</v>
      </c>
      <c r="BK43" s="18">
        <f t="shared" si="7"/>
        <v>0</v>
      </c>
      <c r="BL43" s="18">
        <f t="shared" si="7"/>
        <v>0</v>
      </c>
      <c r="BM43" s="18">
        <f t="shared" si="7"/>
        <v>0</v>
      </c>
      <c r="BN43" s="18">
        <f t="shared" si="7"/>
        <v>0</v>
      </c>
      <c r="BO43" s="18">
        <f t="shared" si="7"/>
        <v>0</v>
      </c>
      <c r="BP43" s="18">
        <f t="shared" si="7"/>
        <v>0</v>
      </c>
      <c r="BQ43" s="18">
        <f t="shared" si="7"/>
        <v>0</v>
      </c>
      <c r="BR43" s="65">
        <f>MAINTENANCE!BQ16</f>
        <v>0</v>
      </c>
      <c r="BS43" s="15"/>
      <c r="BT43" s="14"/>
    </row>
    <row r="44" spans="1:72" s="58" customFormat="1" ht="7.5" thickBot="1">
      <c r="A44" s="263"/>
      <c r="B44" s="179">
        <f>B$5</f>
        <v>43495</v>
      </c>
      <c r="C44" s="180">
        <f t="shared" ref="C44:BQ44" si="8">C$5</f>
        <v>43719</v>
      </c>
      <c r="D44" s="179">
        <f t="shared" si="8"/>
        <v>0</v>
      </c>
      <c r="E44" s="179">
        <f t="shared" si="8"/>
        <v>43495</v>
      </c>
      <c r="F44" s="179">
        <f t="shared" si="8"/>
        <v>43539</v>
      </c>
      <c r="G44" s="179">
        <f t="shared" si="8"/>
        <v>43581</v>
      </c>
      <c r="H44" s="179">
        <f t="shared" si="8"/>
        <v>43584</v>
      </c>
      <c r="I44" s="179">
        <f t="shared" si="8"/>
        <v>43641</v>
      </c>
      <c r="J44" s="179">
        <f t="shared" si="8"/>
        <v>43810</v>
      </c>
      <c r="K44" s="179">
        <f t="shared" si="8"/>
        <v>43581</v>
      </c>
      <c r="L44" s="179">
        <f t="shared" si="8"/>
        <v>43806</v>
      </c>
      <c r="M44" s="179">
        <f t="shared" si="8"/>
        <v>43823</v>
      </c>
      <c r="N44" s="179" t="str">
        <f t="shared" si="8"/>
        <v xml:space="preserve"> </v>
      </c>
      <c r="O44" s="179" t="str">
        <f t="shared" si="8"/>
        <v xml:space="preserve"> </v>
      </c>
      <c r="P44" s="179" t="str">
        <f t="shared" si="8"/>
        <v xml:space="preserve"> </v>
      </c>
      <c r="Q44" s="179" t="str">
        <f t="shared" si="8"/>
        <v xml:space="preserve"> </v>
      </c>
      <c r="R44" s="179" t="str">
        <f t="shared" si="8"/>
        <v xml:space="preserve"> </v>
      </c>
      <c r="S44" s="179" t="str">
        <f t="shared" si="8"/>
        <v xml:space="preserve"> </v>
      </c>
      <c r="T44" s="179">
        <f t="shared" si="8"/>
        <v>43587</v>
      </c>
      <c r="U44" s="179">
        <f t="shared" si="8"/>
        <v>43594</v>
      </c>
      <c r="V44" s="179">
        <f t="shared" si="8"/>
        <v>43601</v>
      </c>
      <c r="W44" s="179">
        <f t="shared" si="8"/>
        <v>43608</v>
      </c>
      <c r="X44" s="179">
        <f t="shared" si="8"/>
        <v>43615</v>
      </c>
      <c r="Y44" s="179">
        <f t="shared" si="8"/>
        <v>43622</v>
      </c>
      <c r="Z44" s="179">
        <f t="shared" si="8"/>
        <v>43629</v>
      </c>
      <c r="AA44" s="179">
        <f t="shared" si="8"/>
        <v>43636</v>
      </c>
      <c r="AB44" s="179">
        <f t="shared" si="8"/>
        <v>43643</v>
      </c>
      <c r="AC44" s="179">
        <f t="shared" si="8"/>
        <v>43650</v>
      </c>
      <c r="AD44" s="179">
        <f t="shared" si="8"/>
        <v>43657</v>
      </c>
      <c r="AE44" s="179">
        <f t="shared" si="8"/>
        <v>43664</v>
      </c>
      <c r="AF44" s="179">
        <f t="shared" si="8"/>
        <v>43671</v>
      </c>
      <c r="AG44" s="179">
        <f t="shared" si="8"/>
        <v>43678</v>
      </c>
      <c r="AH44" s="179">
        <f t="shared" si="8"/>
        <v>43685</v>
      </c>
      <c r="AI44" s="179">
        <f t="shared" si="8"/>
        <v>43692</v>
      </c>
      <c r="AJ44" s="179">
        <f t="shared" si="8"/>
        <v>43699</v>
      </c>
      <c r="AK44" s="179">
        <f t="shared" si="8"/>
        <v>43706</v>
      </c>
      <c r="AL44" s="179">
        <f t="shared" si="8"/>
        <v>43713</v>
      </c>
      <c r="AM44" s="179">
        <f t="shared" si="8"/>
        <v>43720</v>
      </c>
      <c r="AN44" s="180">
        <f t="shared" si="8"/>
        <v>43727</v>
      </c>
      <c r="AO44" s="180">
        <f t="shared" si="8"/>
        <v>43705</v>
      </c>
      <c r="AP44" s="178">
        <f t="shared" si="8"/>
        <v>43712</v>
      </c>
      <c r="AQ44" s="179">
        <f t="shared" si="8"/>
        <v>43719</v>
      </c>
      <c r="AR44" s="179">
        <f t="shared" si="8"/>
        <v>43726</v>
      </c>
      <c r="AS44" s="179">
        <f t="shared" si="8"/>
        <v>43733</v>
      </c>
      <c r="AT44" s="179">
        <f t="shared" si="8"/>
        <v>43740</v>
      </c>
      <c r="AU44" s="179">
        <f t="shared" si="8"/>
        <v>43747</v>
      </c>
      <c r="AV44" s="179">
        <f t="shared" si="8"/>
        <v>43754</v>
      </c>
      <c r="AW44" s="179">
        <f t="shared" si="8"/>
        <v>43761</v>
      </c>
      <c r="AX44" s="179">
        <f t="shared" si="8"/>
        <v>43768</v>
      </c>
      <c r="AY44" s="179">
        <f t="shared" si="8"/>
        <v>43775</v>
      </c>
      <c r="AZ44" s="179">
        <f t="shared" si="8"/>
        <v>43782</v>
      </c>
      <c r="BA44" s="179">
        <f t="shared" si="8"/>
        <v>43789</v>
      </c>
      <c r="BB44" s="179">
        <f t="shared" si="8"/>
        <v>43796</v>
      </c>
      <c r="BC44" s="179">
        <f t="shared" si="8"/>
        <v>43823</v>
      </c>
      <c r="BD44" s="179">
        <f t="shared" si="8"/>
        <v>43830</v>
      </c>
      <c r="BE44" s="179">
        <f t="shared" si="8"/>
        <v>43837</v>
      </c>
      <c r="BF44" s="179">
        <f t="shared" si="8"/>
        <v>43844</v>
      </c>
      <c r="BG44" s="179">
        <f t="shared" si="8"/>
        <v>43851</v>
      </c>
      <c r="BH44" s="179">
        <f t="shared" si="8"/>
        <v>0</v>
      </c>
      <c r="BI44" s="179">
        <f t="shared" si="8"/>
        <v>0</v>
      </c>
      <c r="BJ44" s="179">
        <f t="shared" si="8"/>
        <v>0</v>
      </c>
      <c r="BK44" s="179">
        <f t="shared" si="8"/>
        <v>0</v>
      </c>
      <c r="BL44" s="179">
        <f t="shared" si="8"/>
        <v>0</v>
      </c>
      <c r="BM44" s="179">
        <f t="shared" si="8"/>
        <v>0</v>
      </c>
      <c r="BN44" s="179">
        <f t="shared" si="8"/>
        <v>0</v>
      </c>
      <c r="BO44" s="179">
        <f t="shared" si="8"/>
        <v>0</v>
      </c>
      <c r="BP44" s="179">
        <f t="shared" si="8"/>
        <v>0</v>
      </c>
      <c r="BQ44" s="179">
        <f t="shared" si="8"/>
        <v>0</v>
      </c>
      <c r="BR44" s="181">
        <f>MAINTENANCE!BQ17</f>
        <v>0</v>
      </c>
      <c r="BS44" s="182"/>
      <c r="BT44" s="245"/>
    </row>
    <row r="45" spans="1:72" ht="7.5" thickTop="1">
      <c r="A45" s="834" t="s">
        <v>254</v>
      </c>
      <c r="B45" s="372"/>
      <c r="C45" s="374"/>
      <c r="D45" s="372"/>
      <c r="E45" s="372">
        <v>100</v>
      </c>
      <c r="F45" s="372"/>
      <c r="G45" s="372"/>
      <c r="H45" s="372"/>
      <c r="I45" s="372"/>
      <c r="J45" s="372"/>
      <c r="K45" s="372"/>
      <c r="L45" s="372"/>
      <c r="M45" s="372"/>
      <c r="N45" s="372"/>
      <c r="O45" s="372"/>
      <c r="P45" s="372"/>
      <c r="Q45" s="372"/>
      <c r="R45" s="372"/>
      <c r="S45" s="374"/>
      <c r="T45" s="374"/>
      <c r="U45" s="372"/>
      <c r="V45" s="372"/>
      <c r="W45" s="372"/>
      <c r="X45" s="372"/>
      <c r="Y45" s="372"/>
      <c r="Z45" s="372"/>
      <c r="AA45" s="372"/>
      <c r="AB45" s="372"/>
      <c r="AC45" s="372"/>
      <c r="AD45" s="372"/>
      <c r="AE45" s="372"/>
      <c r="AF45" s="372"/>
      <c r="AG45" s="372"/>
      <c r="AH45" s="372"/>
      <c r="AI45" s="372"/>
      <c r="AJ45" s="372"/>
      <c r="AK45" s="372"/>
      <c r="AL45" s="372"/>
      <c r="AM45" s="372"/>
      <c r="AN45" s="374"/>
      <c r="AO45" s="374"/>
      <c r="AP45" s="373"/>
      <c r="AQ45" s="372"/>
      <c r="AR45" s="372"/>
      <c r="AS45" s="372"/>
      <c r="AT45" s="372"/>
      <c r="AU45" s="372"/>
      <c r="AV45" s="372"/>
      <c r="AW45" s="372"/>
      <c r="AX45" s="372"/>
      <c r="AY45" s="372"/>
      <c r="AZ45" s="372"/>
      <c r="BA45" s="374"/>
      <c r="BB45" s="372"/>
      <c r="BC45" s="372"/>
      <c r="BD45" s="372"/>
      <c r="BE45" s="372"/>
      <c r="BF45" s="372"/>
      <c r="BG45" s="372"/>
      <c r="BH45" s="374"/>
      <c r="BI45" s="56"/>
      <c r="BJ45" s="56"/>
      <c r="BK45" s="56"/>
      <c r="BL45" s="56"/>
      <c r="BM45" s="56"/>
      <c r="BN45" s="56"/>
      <c r="BO45" s="56"/>
      <c r="BP45" s="56"/>
      <c r="BQ45" s="56"/>
      <c r="BR45" s="62"/>
      <c r="BS45" s="49"/>
      <c r="BT45" s="69">
        <f>SUM(C45:BR45)</f>
        <v>100</v>
      </c>
    </row>
    <row r="46" spans="1:72">
      <c r="A46" s="548"/>
      <c r="B46" s="376"/>
      <c r="C46" s="378"/>
      <c r="D46" s="376"/>
      <c r="E46" s="376"/>
      <c r="F46" s="376"/>
      <c r="G46" s="376"/>
      <c r="H46" s="376"/>
      <c r="I46" s="376"/>
      <c r="J46" s="376"/>
      <c r="K46" s="376"/>
      <c r="L46" s="376"/>
      <c r="M46" s="376"/>
      <c r="N46" s="376"/>
      <c r="O46" s="376"/>
      <c r="P46" s="381"/>
      <c r="Q46" s="376"/>
      <c r="R46" s="376"/>
      <c r="S46" s="378"/>
      <c r="T46" s="378"/>
      <c r="U46" s="376"/>
      <c r="V46" s="376"/>
      <c r="W46" s="376"/>
      <c r="X46" s="376"/>
      <c r="Y46" s="376"/>
      <c r="Z46" s="376"/>
      <c r="AA46" s="376"/>
      <c r="AB46" s="376"/>
      <c r="AC46" s="376"/>
      <c r="AD46" s="376"/>
      <c r="AE46" s="376"/>
      <c r="AF46" s="376"/>
      <c r="AG46" s="376"/>
      <c r="AH46" s="376"/>
      <c r="AI46" s="376"/>
      <c r="AJ46" s="376"/>
      <c r="AK46" s="376"/>
      <c r="AL46" s="376"/>
      <c r="AM46" s="376"/>
      <c r="AN46" s="378"/>
      <c r="AO46" s="378"/>
      <c r="AP46" s="377"/>
      <c r="AQ46" s="376"/>
      <c r="AR46" s="376"/>
      <c r="AS46" s="376"/>
      <c r="AT46" s="376"/>
      <c r="AU46" s="376"/>
      <c r="AV46" s="376"/>
      <c r="AW46" s="376"/>
      <c r="AX46" s="376"/>
      <c r="AY46" s="376"/>
      <c r="AZ46" s="376"/>
      <c r="BA46" s="378"/>
      <c r="BB46" s="376"/>
      <c r="BC46" s="376"/>
      <c r="BD46" s="376"/>
      <c r="BE46" s="376"/>
      <c r="BF46" s="376"/>
      <c r="BG46" s="376"/>
      <c r="BH46" s="378"/>
      <c r="BI46" s="56"/>
      <c r="BJ46" s="56"/>
      <c r="BK46" s="56"/>
      <c r="BL46" s="56"/>
      <c r="BM46" s="56"/>
      <c r="BN46" s="56"/>
      <c r="BO46" s="56"/>
      <c r="BP46" s="56"/>
      <c r="BQ46" s="56"/>
      <c r="BR46" s="62"/>
      <c r="BS46" s="49"/>
      <c r="BT46" s="69">
        <f>SUM(C46:BR46)</f>
        <v>0</v>
      </c>
    </row>
    <row r="47" spans="1:72" ht="7.5" thickBot="1">
      <c r="A47" s="382"/>
      <c r="B47" s="383"/>
      <c r="C47" s="385"/>
      <c r="D47" s="383"/>
      <c r="E47" s="383"/>
      <c r="F47" s="383"/>
      <c r="G47" s="383"/>
      <c r="H47" s="383"/>
      <c r="I47" s="383"/>
      <c r="J47" s="383"/>
      <c r="K47" s="383"/>
      <c r="L47" s="383"/>
      <c r="M47" s="383"/>
      <c r="N47" s="383"/>
      <c r="O47" s="383"/>
      <c r="P47" s="383"/>
      <c r="Q47" s="383"/>
      <c r="R47" s="383"/>
      <c r="S47" s="385"/>
      <c r="T47" s="385"/>
      <c r="U47" s="383"/>
      <c r="V47" s="383"/>
      <c r="W47" s="383"/>
      <c r="X47" s="383"/>
      <c r="Y47" s="383"/>
      <c r="Z47" s="383"/>
      <c r="AA47" s="383"/>
      <c r="AB47" s="383"/>
      <c r="AC47" s="383"/>
      <c r="AD47" s="383"/>
      <c r="AE47" s="383"/>
      <c r="AF47" s="383"/>
      <c r="AG47" s="383"/>
      <c r="AH47" s="383"/>
      <c r="AI47" s="383"/>
      <c r="AJ47" s="383"/>
      <c r="AK47" s="383"/>
      <c r="AL47" s="383"/>
      <c r="AM47" s="383"/>
      <c r="AN47" s="385"/>
      <c r="AO47" s="385"/>
      <c r="AP47" s="384"/>
      <c r="AQ47" s="383"/>
      <c r="AR47" s="383"/>
      <c r="AS47" s="383"/>
      <c r="AT47" s="383"/>
      <c r="AU47" s="383"/>
      <c r="AV47" s="383"/>
      <c r="AW47" s="383"/>
      <c r="AX47" s="383"/>
      <c r="AY47" s="383"/>
      <c r="AZ47" s="383"/>
      <c r="BA47" s="385"/>
      <c r="BB47" s="383"/>
      <c r="BC47" s="383"/>
      <c r="BD47" s="383"/>
      <c r="BE47" s="383"/>
      <c r="BF47" s="383"/>
      <c r="BG47" s="383"/>
      <c r="BH47" s="385"/>
      <c r="BI47" s="56"/>
      <c r="BJ47" s="56"/>
      <c r="BK47" s="56"/>
      <c r="BL47" s="56"/>
      <c r="BM47" s="56"/>
      <c r="BN47" s="56"/>
      <c r="BO47" s="56"/>
      <c r="BP47" s="56"/>
      <c r="BQ47" s="56"/>
      <c r="BR47" s="62"/>
      <c r="BS47" s="49"/>
      <c r="BT47" s="69">
        <f>SUM(C47:BR47)</f>
        <v>0</v>
      </c>
    </row>
    <row r="48" spans="1:72" ht="11.5" thickTop="1" thickBot="1">
      <c r="A48" s="127" t="s">
        <v>80</v>
      </c>
      <c r="B48" s="63">
        <f t="shared" ref="B48:AJ48" si="9">SUM(B45:B47)</f>
        <v>0</v>
      </c>
      <c r="C48" s="91">
        <f t="shared" si="9"/>
        <v>0</v>
      </c>
      <c r="D48" s="63">
        <f t="shared" si="9"/>
        <v>0</v>
      </c>
      <c r="E48" s="63">
        <f t="shared" si="9"/>
        <v>100</v>
      </c>
      <c r="F48" s="63">
        <f t="shared" si="9"/>
        <v>0</v>
      </c>
      <c r="G48" s="63">
        <f t="shared" si="9"/>
        <v>0</v>
      </c>
      <c r="H48" s="63">
        <f t="shared" si="9"/>
        <v>0</v>
      </c>
      <c r="I48" s="63">
        <f t="shared" si="9"/>
        <v>0</v>
      </c>
      <c r="J48" s="63">
        <f t="shared" si="9"/>
        <v>0</v>
      </c>
      <c r="K48" s="63">
        <f t="shared" si="9"/>
        <v>0</v>
      </c>
      <c r="L48" s="63">
        <f t="shared" si="9"/>
        <v>0</v>
      </c>
      <c r="M48" s="63">
        <f t="shared" si="9"/>
        <v>0</v>
      </c>
      <c r="N48" s="63">
        <f t="shared" si="9"/>
        <v>0</v>
      </c>
      <c r="O48" s="63">
        <f t="shared" si="9"/>
        <v>0</v>
      </c>
      <c r="P48" s="63">
        <f t="shared" si="9"/>
        <v>0</v>
      </c>
      <c r="Q48" s="63">
        <f t="shared" si="9"/>
        <v>0</v>
      </c>
      <c r="R48" s="63">
        <f t="shared" si="9"/>
        <v>0</v>
      </c>
      <c r="S48" s="91">
        <f t="shared" si="9"/>
        <v>0</v>
      </c>
      <c r="T48" s="91">
        <f t="shared" si="9"/>
        <v>0</v>
      </c>
      <c r="U48" s="63">
        <f t="shared" si="9"/>
        <v>0</v>
      </c>
      <c r="V48" s="63">
        <f t="shared" si="9"/>
        <v>0</v>
      </c>
      <c r="W48" s="63">
        <f t="shared" si="9"/>
        <v>0</v>
      </c>
      <c r="X48" s="63">
        <f t="shared" si="9"/>
        <v>0</v>
      </c>
      <c r="Y48" s="63">
        <f t="shared" si="9"/>
        <v>0</v>
      </c>
      <c r="Z48" s="63">
        <f t="shared" si="9"/>
        <v>0</v>
      </c>
      <c r="AA48" s="63">
        <f t="shared" si="9"/>
        <v>0</v>
      </c>
      <c r="AB48" s="63">
        <f t="shared" si="9"/>
        <v>0</v>
      </c>
      <c r="AC48" s="63">
        <f t="shared" si="9"/>
        <v>0</v>
      </c>
      <c r="AD48" s="63">
        <f t="shared" si="9"/>
        <v>0</v>
      </c>
      <c r="AE48" s="63">
        <f t="shared" si="9"/>
        <v>0</v>
      </c>
      <c r="AF48" s="63">
        <f t="shared" si="9"/>
        <v>0</v>
      </c>
      <c r="AG48" s="63">
        <f t="shared" si="9"/>
        <v>0</v>
      </c>
      <c r="AH48" s="63">
        <f t="shared" si="9"/>
        <v>0</v>
      </c>
      <c r="AI48" s="63">
        <f t="shared" si="9"/>
        <v>0</v>
      </c>
      <c r="AJ48" s="63">
        <f t="shared" si="9"/>
        <v>0</v>
      </c>
      <c r="AK48" s="63">
        <f t="shared" ref="AK48:BP48" si="10">SUM(AK45:AK47)</f>
        <v>0</v>
      </c>
      <c r="AL48" s="63">
        <f t="shared" si="10"/>
        <v>0</v>
      </c>
      <c r="AM48" s="63">
        <f t="shared" si="10"/>
        <v>0</v>
      </c>
      <c r="AN48" s="91">
        <f t="shared" si="10"/>
        <v>0</v>
      </c>
      <c r="AO48" s="91">
        <f t="shared" si="10"/>
        <v>0</v>
      </c>
      <c r="AP48" s="125">
        <f t="shared" si="10"/>
        <v>0</v>
      </c>
      <c r="AQ48" s="63">
        <f t="shared" si="10"/>
        <v>0</v>
      </c>
      <c r="AR48" s="63">
        <f t="shared" si="10"/>
        <v>0</v>
      </c>
      <c r="AS48" s="63">
        <f t="shared" si="10"/>
        <v>0</v>
      </c>
      <c r="AT48" s="63">
        <f t="shared" si="10"/>
        <v>0</v>
      </c>
      <c r="AU48" s="63">
        <f t="shared" si="10"/>
        <v>0</v>
      </c>
      <c r="AV48" s="63">
        <f t="shared" si="10"/>
        <v>0</v>
      </c>
      <c r="AW48" s="63">
        <f t="shared" si="10"/>
        <v>0</v>
      </c>
      <c r="AX48" s="63">
        <f t="shared" si="10"/>
        <v>0</v>
      </c>
      <c r="AY48" s="63">
        <f t="shared" si="10"/>
        <v>0</v>
      </c>
      <c r="AZ48" s="63">
        <f t="shared" si="10"/>
        <v>0</v>
      </c>
      <c r="BA48" s="63">
        <f t="shared" si="10"/>
        <v>0</v>
      </c>
      <c r="BB48" s="63">
        <f t="shared" si="10"/>
        <v>0</v>
      </c>
      <c r="BC48" s="63">
        <f t="shared" si="10"/>
        <v>0</v>
      </c>
      <c r="BD48" s="63">
        <f>SUM(BD45:BD47)</f>
        <v>0</v>
      </c>
      <c r="BE48" s="63">
        <f>SUM(BE45:BE47)</f>
        <v>0</v>
      </c>
      <c r="BF48" s="63">
        <f t="shared" si="10"/>
        <v>0</v>
      </c>
      <c r="BG48" s="63">
        <f t="shared" si="10"/>
        <v>0</v>
      </c>
      <c r="BH48" s="63">
        <f t="shared" si="10"/>
        <v>0</v>
      </c>
      <c r="BI48" s="63">
        <f t="shared" si="10"/>
        <v>0</v>
      </c>
      <c r="BJ48" s="63">
        <f t="shared" si="10"/>
        <v>0</v>
      </c>
      <c r="BK48" s="63">
        <f t="shared" si="10"/>
        <v>0</v>
      </c>
      <c r="BL48" s="63">
        <f t="shared" si="10"/>
        <v>0</v>
      </c>
      <c r="BM48" s="63">
        <f t="shared" si="10"/>
        <v>0</v>
      </c>
      <c r="BN48" s="63">
        <f t="shared" si="10"/>
        <v>0</v>
      </c>
      <c r="BO48" s="63">
        <f t="shared" si="10"/>
        <v>0</v>
      </c>
      <c r="BP48" s="63">
        <f t="shared" si="10"/>
        <v>0</v>
      </c>
      <c r="BQ48" s="63">
        <f>SUM(BQ45:BQ47)</f>
        <v>0</v>
      </c>
      <c r="BR48" s="132">
        <f>BR45</f>
        <v>0</v>
      </c>
      <c r="BS48" s="49"/>
      <c r="BT48" s="295">
        <f>SUM(B48:BR48)</f>
        <v>100</v>
      </c>
    </row>
    <row r="49" spans="1:72" ht="8" thickTop="1" thickBot="1">
      <c r="A49" s="128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1"/>
      <c r="BT49" s="70"/>
    </row>
    <row r="50" spans="1:72" s="241" customFormat="1" ht="11" thickTop="1">
      <c r="A50" s="242" t="s">
        <v>81</v>
      </c>
      <c r="B50" s="18" t="str">
        <f>B$4</f>
        <v>Insurance</v>
      </c>
      <c r="C50" s="21" t="str">
        <f t="shared" ref="C50:E51" si="11">C4</f>
        <v>Licence</v>
      </c>
      <c r="D50" s="18" t="str">
        <f t="shared" si="11"/>
        <v>Mooring</v>
      </c>
      <c r="E50" s="18" t="str">
        <f t="shared" si="11"/>
        <v>PB</v>
      </c>
      <c r="F50" s="18" t="str">
        <f t="shared" ref="F50:AP50" si="12">F4</f>
        <v>JGB</v>
      </c>
      <c r="G50" s="18" t="str">
        <f t="shared" si="12"/>
        <v>CJ/DJ</v>
      </c>
      <c r="H50" s="18" t="str">
        <f t="shared" si="12"/>
        <v>Atlass</v>
      </c>
      <c r="I50" s="18" t="str">
        <f t="shared" si="12"/>
        <v>Atlass</v>
      </c>
      <c r="J50" s="18" t="str">
        <f t="shared" si="12"/>
        <v>Faulkner</v>
      </c>
      <c r="K50" s="18" t="str">
        <f t="shared" si="12"/>
        <v>PB</v>
      </c>
      <c r="L50" s="18" t="str">
        <f t="shared" si="12"/>
        <v>PB</v>
      </c>
      <c r="M50" s="18" t="str">
        <f t="shared" si="12"/>
        <v>DJB</v>
      </c>
      <c r="N50" s="18" t="str">
        <f t="shared" si="12"/>
        <v>unscheduled</v>
      </c>
      <c r="O50" s="18" t="str">
        <f t="shared" si="12"/>
        <v>unscheduled</v>
      </c>
      <c r="P50" s="18" t="str">
        <f t="shared" si="12"/>
        <v>unscheduled</v>
      </c>
      <c r="Q50" s="18" t="str">
        <f t="shared" si="12"/>
        <v>unscheduled</v>
      </c>
      <c r="R50" s="18" t="str">
        <f t="shared" si="12"/>
        <v>unscheduled</v>
      </c>
      <c r="S50" s="13" t="str">
        <f t="shared" si="12"/>
        <v>unscheduled</v>
      </c>
      <c r="T50" s="13" t="str">
        <f t="shared" si="12"/>
        <v>unscheduled</v>
      </c>
      <c r="U50" s="18" t="str">
        <f t="shared" si="12"/>
        <v>JGC</v>
      </c>
      <c r="V50" s="18" t="str">
        <f t="shared" si="12"/>
        <v>unscheduled</v>
      </c>
      <c r="W50" s="18" t="str">
        <f t="shared" si="12"/>
        <v>unscheduled</v>
      </c>
      <c r="X50" s="18" t="str">
        <f t="shared" si="12"/>
        <v>unscheduled</v>
      </c>
      <c r="Y50" s="18" t="str">
        <f t="shared" si="12"/>
        <v>D Kee</v>
      </c>
      <c r="Z50" s="18" t="str">
        <f>Z4</f>
        <v>unscheduled</v>
      </c>
      <c r="AA50" s="18" t="str">
        <f t="shared" si="12"/>
        <v>unscheduled</v>
      </c>
      <c r="AB50" s="18" t="str">
        <f t="shared" si="12"/>
        <v>unscheduled</v>
      </c>
      <c r="AC50" s="18" t="str">
        <f t="shared" si="12"/>
        <v>PB</v>
      </c>
      <c r="AD50" s="18" t="str">
        <f>AD4</f>
        <v>Atlass</v>
      </c>
      <c r="AE50" s="18" t="str">
        <f t="shared" si="12"/>
        <v>CJ?DJ</v>
      </c>
      <c r="AF50" s="18" t="str">
        <f t="shared" si="12"/>
        <v>unscheduled</v>
      </c>
      <c r="AG50" s="18" t="str">
        <f t="shared" si="12"/>
        <v>PB</v>
      </c>
      <c r="AH50" s="18" t="str">
        <f t="shared" si="12"/>
        <v>CJ/DJ</v>
      </c>
      <c r="AI50" s="18" t="str">
        <f>AI4</f>
        <v>Fisher</v>
      </c>
      <c r="AJ50" s="18" t="str">
        <f t="shared" si="12"/>
        <v>unscheduled</v>
      </c>
      <c r="AK50" s="18" t="str">
        <f t="shared" si="12"/>
        <v>unscheduled</v>
      </c>
      <c r="AL50" s="18" t="str">
        <f t="shared" si="12"/>
        <v>unscheduled</v>
      </c>
      <c r="AM50" s="18" t="str">
        <f t="shared" si="12"/>
        <v>unscheduled</v>
      </c>
      <c r="AN50" s="13" t="str">
        <f>AN4</f>
        <v>unscheduled</v>
      </c>
      <c r="AO50" s="13" t="str">
        <f>AO4</f>
        <v>unscheduled</v>
      </c>
      <c r="AP50" s="21" t="str">
        <f t="shared" si="12"/>
        <v>unscheduled</v>
      </c>
      <c r="AQ50" s="18" t="str">
        <f t="shared" ref="AQ50:BO50" si="13">AQ4</f>
        <v>unscheduled</v>
      </c>
      <c r="AR50" s="18" t="str">
        <f t="shared" si="13"/>
        <v>CJ/DJ</v>
      </c>
      <c r="AS50" s="18" t="str">
        <f t="shared" si="13"/>
        <v>unscheduled</v>
      </c>
      <c r="AT50" s="18" t="str">
        <f t="shared" si="13"/>
        <v>Atlass</v>
      </c>
      <c r="AU50" s="18" t="str">
        <f t="shared" si="13"/>
        <v>unscheduled</v>
      </c>
      <c r="AV50" s="18" t="str">
        <f t="shared" si="13"/>
        <v>unscheduled</v>
      </c>
      <c r="AW50" s="18" t="str">
        <f>AW4</f>
        <v>unscheduled</v>
      </c>
      <c r="AX50" s="18" t="str">
        <f t="shared" si="13"/>
        <v>unscheduled</v>
      </c>
      <c r="AY50" s="18" t="str">
        <f>AY4</f>
        <v>DJB</v>
      </c>
      <c r="AZ50" s="18" t="str">
        <f t="shared" si="13"/>
        <v>unscheduled</v>
      </c>
      <c r="BA50" s="18" t="str">
        <f t="shared" si="13"/>
        <v>unscheduled</v>
      </c>
      <c r="BB50" s="18" t="str">
        <f>BB4</f>
        <v>unscheduled</v>
      </c>
      <c r="BC50" s="18" t="str">
        <f t="shared" si="13"/>
        <v>D Kee</v>
      </c>
      <c r="BD50" s="18" t="str">
        <f t="shared" si="13"/>
        <v>unscheduled</v>
      </c>
      <c r="BE50" s="18" t="str">
        <f t="shared" si="13"/>
        <v>unscheduled</v>
      </c>
      <c r="BF50" s="18" t="str">
        <f>BF4</f>
        <v>unscheduled</v>
      </c>
      <c r="BG50" s="18" t="str">
        <f t="shared" si="13"/>
        <v>unscheduled</v>
      </c>
      <c r="BH50" s="18">
        <f t="shared" si="13"/>
        <v>0</v>
      </c>
      <c r="BI50" s="18">
        <f t="shared" si="13"/>
        <v>0</v>
      </c>
      <c r="BJ50" s="18">
        <f t="shared" si="13"/>
        <v>0</v>
      </c>
      <c r="BK50" s="18">
        <f t="shared" si="13"/>
        <v>0</v>
      </c>
      <c r="BL50" s="18">
        <f t="shared" si="13"/>
        <v>0</v>
      </c>
      <c r="BM50" s="18">
        <f>BM4</f>
        <v>0</v>
      </c>
      <c r="BN50" s="18">
        <f>BN4</f>
        <v>0</v>
      </c>
      <c r="BO50" s="18">
        <f t="shared" si="13"/>
        <v>0</v>
      </c>
      <c r="BP50" s="18">
        <f>BP4</f>
        <v>0</v>
      </c>
      <c r="BQ50" s="18">
        <f>BQ4</f>
        <v>0</v>
      </c>
      <c r="BR50" s="65">
        <f>MAINTENANCE!BQ25</f>
        <v>0</v>
      </c>
      <c r="BS50" s="15"/>
      <c r="BT50" s="14"/>
    </row>
    <row r="51" spans="1:72" s="58" customFormat="1" ht="7.5" thickBot="1">
      <c r="A51" s="263"/>
      <c r="B51" s="179">
        <f>B$5</f>
        <v>43495</v>
      </c>
      <c r="C51" s="178">
        <f t="shared" si="11"/>
        <v>43719</v>
      </c>
      <c r="D51" s="179">
        <f t="shared" si="11"/>
        <v>0</v>
      </c>
      <c r="E51" s="179">
        <f t="shared" si="11"/>
        <v>43495</v>
      </c>
      <c r="F51" s="179">
        <f t="shared" ref="F51:AP51" si="14">F5</f>
        <v>43539</v>
      </c>
      <c r="G51" s="179">
        <f t="shared" si="14"/>
        <v>43581</v>
      </c>
      <c r="H51" s="179">
        <f t="shared" si="14"/>
        <v>43584</v>
      </c>
      <c r="I51" s="179">
        <f t="shared" si="14"/>
        <v>43641</v>
      </c>
      <c r="J51" s="179">
        <f t="shared" si="14"/>
        <v>43810</v>
      </c>
      <c r="K51" s="179">
        <f t="shared" si="14"/>
        <v>43581</v>
      </c>
      <c r="L51" s="179">
        <f t="shared" si="14"/>
        <v>43806</v>
      </c>
      <c r="M51" s="179">
        <f t="shared" si="14"/>
        <v>43823</v>
      </c>
      <c r="N51" s="179" t="str">
        <f t="shared" si="14"/>
        <v xml:space="preserve"> </v>
      </c>
      <c r="O51" s="179" t="str">
        <f t="shared" si="14"/>
        <v xml:space="preserve"> </v>
      </c>
      <c r="P51" s="179" t="str">
        <f t="shared" si="14"/>
        <v xml:space="preserve"> </v>
      </c>
      <c r="Q51" s="179" t="str">
        <f t="shared" si="14"/>
        <v xml:space="preserve"> </v>
      </c>
      <c r="R51" s="179" t="str">
        <f t="shared" si="14"/>
        <v xml:space="preserve"> </v>
      </c>
      <c r="S51" s="180" t="str">
        <f t="shared" si="14"/>
        <v xml:space="preserve"> </v>
      </c>
      <c r="T51" s="180">
        <f t="shared" si="14"/>
        <v>43587</v>
      </c>
      <c r="U51" s="179">
        <f t="shared" si="14"/>
        <v>43594</v>
      </c>
      <c r="V51" s="179">
        <f t="shared" si="14"/>
        <v>43601</v>
      </c>
      <c r="W51" s="179">
        <f t="shared" si="14"/>
        <v>43608</v>
      </c>
      <c r="X51" s="179">
        <f t="shared" si="14"/>
        <v>43615</v>
      </c>
      <c r="Y51" s="179">
        <f t="shared" si="14"/>
        <v>43622</v>
      </c>
      <c r="Z51" s="179">
        <f>Z5</f>
        <v>43629</v>
      </c>
      <c r="AA51" s="179">
        <f t="shared" si="14"/>
        <v>43636</v>
      </c>
      <c r="AB51" s="179">
        <f t="shared" si="14"/>
        <v>43643</v>
      </c>
      <c r="AC51" s="179">
        <f t="shared" si="14"/>
        <v>43650</v>
      </c>
      <c r="AD51" s="179">
        <f>AD5</f>
        <v>43657</v>
      </c>
      <c r="AE51" s="179">
        <f t="shared" si="14"/>
        <v>43664</v>
      </c>
      <c r="AF51" s="179">
        <f t="shared" si="14"/>
        <v>43671</v>
      </c>
      <c r="AG51" s="179">
        <f t="shared" si="14"/>
        <v>43678</v>
      </c>
      <c r="AH51" s="179">
        <f t="shared" si="14"/>
        <v>43685</v>
      </c>
      <c r="AI51" s="179">
        <f>AI5</f>
        <v>43692</v>
      </c>
      <c r="AJ51" s="179">
        <f t="shared" si="14"/>
        <v>43699</v>
      </c>
      <c r="AK51" s="179">
        <f t="shared" si="14"/>
        <v>43706</v>
      </c>
      <c r="AL51" s="179">
        <f t="shared" si="14"/>
        <v>43713</v>
      </c>
      <c r="AM51" s="179">
        <f t="shared" si="14"/>
        <v>43720</v>
      </c>
      <c r="AN51" s="180">
        <f>AN5</f>
        <v>43727</v>
      </c>
      <c r="AO51" s="180">
        <f>AO5</f>
        <v>43705</v>
      </c>
      <c r="AP51" s="178">
        <f t="shared" si="14"/>
        <v>43712</v>
      </c>
      <c r="AQ51" s="179">
        <f t="shared" ref="AQ51:BO51" si="15">AQ5</f>
        <v>43719</v>
      </c>
      <c r="AR51" s="179">
        <f t="shared" si="15"/>
        <v>43726</v>
      </c>
      <c r="AS51" s="179">
        <f t="shared" si="15"/>
        <v>43733</v>
      </c>
      <c r="AT51" s="179">
        <f t="shared" si="15"/>
        <v>43740</v>
      </c>
      <c r="AU51" s="179">
        <f t="shared" si="15"/>
        <v>43747</v>
      </c>
      <c r="AV51" s="179">
        <f t="shared" si="15"/>
        <v>43754</v>
      </c>
      <c r="AW51" s="179">
        <f>AW5</f>
        <v>43761</v>
      </c>
      <c r="AX51" s="179">
        <f t="shared" si="15"/>
        <v>43768</v>
      </c>
      <c r="AY51" s="179">
        <f>AY5</f>
        <v>43775</v>
      </c>
      <c r="AZ51" s="179">
        <f t="shared" si="15"/>
        <v>43782</v>
      </c>
      <c r="BA51" s="179">
        <f t="shared" si="15"/>
        <v>43789</v>
      </c>
      <c r="BB51" s="179">
        <f>BB5</f>
        <v>43796</v>
      </c>
      <c r="BC51" s="179">
        <f t="shared" si="15"/>
        <v>43823</v>
      </c>
      <c r="BD51" s="179">
        <f t="shared" si="15"/>
        <v>43830</v>
      </c>
      <c r="BE51" s="179">
        <f t="shared" si="15"/>
        <v>43837</v>
      </c>
      <c r="BF51" s="179">
        <f>BF5</f>
        <v>43844</v>
      </c>
      <c r="BG51" s="179">
        <f t="shared" si="15"/>
        <v>43851</v>
      </c>
      <c r="BH51" s="179">
        <f t="shared" si="15"/>
        <v>0</v>
      </c>
      <c r="BI51" s="179">
        <f t="shared" si="15"/>
        <v>0</v>
      </c>
      <c r="BJ51" s="179">
        <f t="shared" si="15"/>
        <v>0</v>
      </c>
      <c r="BK51" s="179">
        <f t="shared" si="15"/>
        <v>0</v>
      </c>
      <c r="BL51" s="179">
        <f t="shared" si="15"/>
        <v>0</v>
      </c>
      <c r="BM51" s="179">
        <f>BM5</f>
        <v>0</v>
      </c>
      <c r="BN51" s="179">
        <f>BN5</f>
        <v>0</v>
      </c>
      <c r="BO51" s="179">
        <f t="shared" si="15"/>
        <v>0</v>
      </c>
      <c r="BP51" s="179">
        <f>BP5</f>
        <v>0</v>
      </c>
      <c r="BQ51" s="179">
        <f>BQ5</f>
        <v>0</v>
      </c>
      <c r="BR51" s="181">
        <f>MAINTENANCE!BQ26</f>
        <v>0</v>
      </c>
      <c r="BS51" s="182"/>
      <c r="BT51" s="245"/>
    </row>
    <row r="52" spans="1:72" ht="7.5" thickTop="1">
      <c r="A52" s="863"/>
      <c r="B52" s="376"/>
      <c r="C52" s="378"/>
      <c r="D52" s="376"/>
      <c r="E52" s="376"/>
      <c r="F52" s="376"/>
      <c r="G52" s="376"/>
      <c r="H52" s="376"/>
      <c r="I52" s="376"/>
      <c r="J52" s="376"/>
      <c r="K52" s="376"/>
      <c r="L52" s="376"/>
      <c r="M52" s="376"/>
      <c r="N52" s="376"/>
      <c r="O52" s="376"/>
      <c r="P52" s="376"/>
      <c r="Q52" s="376"/>
      <c r="R52" s="376"/>
      <c r="S52" s="378"/>
      <c r="T52" s="378"/>
      <c r="U52" s="376"/>
      <c r="V52" s="376"/>
      <c r="W52" s="376"/>
      <c r="X52" s="376"/>
      <c r="Y52" s="376"/>
      <c r="Z52" s="376"/>
      <c r="AA52" s="376"/>
      <c r="AB52" s="376"/>
      <c r="AC52" s="376"/>
      <c r="AD52" s="376"/>
      <c r="AE52" s="376"/>
      <c r="AF52" s="376"/>
      <c r="AG52" s="376"/>
      <c r="AH52" s="376"/>
      <c r="AI52" s="376"/>
      <c r="AJ52" s="376"/>
      <c r="AK52" s="376"/>
      <c r="AL52" s="376"/>
      <c r="AM52" s="376"/>
      <c r="AN52" s="378"/>
      <c r="AO52" s="378"/>
      <c r="AP52" s="377"/>
      <c r="AQ52" s="376"/>
      <c r="AR52" s="376"/>
      <c r="AS52" s="376"/>
      <c r="AT52" s="483"/>
      <c r="AU52" s="483"/>
      <c r="AV52" s="483"/>
      <c r="AW52" s="483"/>
      <c r="AX52" s="483"/>
      <c r="AY52" s="483"/>
      <c r="AZ52" s="483"/>
      <c r="BA52" s="483"/>
      <c r="BB52" s="483"/>
      <c r="BC52" s="483"/>
      <c r="BD52" s="483"/>
      <c r="BE52" s="483"/>
      <c r="BF52" s="483"/>
      <c r="BG52" s="483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62"/>
      <c r="BS52" s="49"/>
      <c r="BT52" s="69">
        <f t="shared" ref="BT52:BT58" si="16">SUM(C52:BR52)</f>
        <v>0</v>
      </c>
    </row>
    <row r="53" spans="1:72">
      <c r="A53" s="548"/>
      <c r="B53" s="376"/>
      <c r="C53" s="378"/>
      <c r="D53" s="376"/>
      <c r="E53" s="376"/>
      <c r="F53" s="376"/>
      <c r="G53" s="376"/>
      <c r="H53" s="376"/>
      <c r="I53" s="376"/>
      <c r="J53" s="376"/>
      <c r="K53" s="376"/>
      <c r="L53" s="376"/>
      <c r="M53" s="376"/>
      <c r="N53" s="376"/>
      <c r="O53" s="376"/>
      <c r="P53" s="376"/>
      <c r="Q53" s="376"/>
      <c r="R53" s="376"/>
      <c r="S53" s="378"/>
      <c r="T53" s="378"/>
      <c r="U53" s="376"/>
      <c r="V53" s="376"/>
      <c r="W53" s="376"/>
      <c r="X53" s="376"/>
      <c r="Y53" s="376"/>
      <c r="Z53" s="376"/>
      <c r="AA53" s="376"/>
      <c r="AB53" s="376"/>
      <c r="AC53" s="376"/>
      <c r="AD53" s="376"/>
      <c r="AE53" s="376"/>
      <c r="AF53" s="376"/>
      <c r="AG53" s="376"/>
      <c r="AH53" s="376"/>
      <c r="AI53" s="376"/>
      <c r="AJ53" s="376"/>
      <c r="AK53" s="376"/>
      <c r="AL53" s="376"/>
      <c r="AM53" s="376"/>
      <c r="AN53" s="378"/>
      <c r="AO53" s="378"/>
      <c r="AP53" s="377"/>
      <c r="AQ53" s="376"/>
      <c r="AR53" s="376"/>
      <c r="AS53" s="376"/>
      <c r="AT53" s="483"/>
      <c r="AU53" s="483"/>
      <c r="AV53" s="483"/>
      <c r="AW53" s="483"/>
      <c r="AX53" s="483"/>
      <c r="AY53" s="483"/>
      <c r="AZ53" s="483"/>
      <c r="BA53" s="483"/>
      <c r="BB53" s="483"/>
      <c r="BC53" s="483"/>
      <c r="BD53" s="483"/>
      <c r="BE53" s="483"/>
      <c r="BF53" s="483"/>
      <c r="BG53" s="483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62"/>
      <c r="BS53" s="49"/>
      <c r="BT53" s="69">
        <f t="shared" si="16"/>
        <v>0</v>
      </c>
    </row>
    <row r="54" spans="1:72">
      <c r="A54" s="548"/>
      <c r="B54" s="376"/>
      <c r="C54" s="378"/>
      <c r="D54" s="376"/>
      <c r="E54" s="376"/>
      <c r="F54" s="376"/>
      <c r="G54" s="376"/>
      <c r="H54" s="376"/>
      <c r="I54" s="376"/>
      <c r="J54" s="376"/>
      <c r="K54" s="376"/>
      <c r="L54" s="376"/>
      <c r="M54" s="376"/>
      <c r="N54" s="376"/>
      <c r="O54" s="376"/>
      <c r="P54" s="376"/>
      <c r="Q54" s="376"/>
      <c r="R54" s="376"/>
      <c r="S54" s="378"/>
      <c r="T54" s="378"/>
      <c r="U54" s="376"/>
      <c r="V54" s="376"/>
      <c r="W54" s="376"/>
      <c r="X54" s="376"/>
      <c r="Y54" s="376"/>
      <c r="Z54" s="376"/>
      <c r="AA54" s="376"/>
      <c r="AB54" s="376"/>
      <c r="AC54" s="376"/>
      <c r="AD54" s="376"/>
      <c r="AE54" s="376"/>
      <c r="AF54" s="376"/>
      <c r="AG54" s="376"/>
      <c r="AH54" s="376"/>
      <c r="AI54" s="376"/>
      <c r="AJ54" s="376"/>
      <c r="AK54" s="376"/>
      <c r="AL54" s="376"/>
      <c r="AM54" s="376"/>
      <c r="AN54" s="378"/>
      <c r="AO54" s="378"/>
      <c r="AP54" s="377"/>
      <c r="AQ54" s="376"/>
      <c r="AR54" s="376"/>
      <c r="AS54" s="376"/>
      <c r="AT54" s="483"/>
      <c r="AU54" s="483"/>
      <c r="AV54" s="483"/>
      <c r="AW54" s="483"/>
      <c r="AX54" s="483"/>
      <c r="AY54" s="483"/>
      <c r="AZ54" s="483"/>
      <c r="BA54" s="483"/>
      <c r="BB54" s="483"/>
      <c r="BC54" s="483"/>
      <c r="BD54" s="483"/>
      <c r="BE54" s="483"/>
      <c r="BF54" s="483"/>
      <c r="BG54" s="483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62"/>
      <c r="BS54" s="49"/>
      <c r="BT54" s="69">
        <f t="shared" si="16"/>
        <v>0</v>
      </c>
    </row>
    <row r="55" spans="1:72">
      <c r="A55" s="548"/>
      <c r="B55" s="376"/>
      <c r="C55" s="378"/>
      <c r="D55" s="376"/>
      <c r="E55" s="376"/>
      <c r="F55" s="376"/>
      <c r="G55" s="376"/>
      <c r="H55" s="376"/>
      <c r="I55" s="376"/>
      <c r="J55" s="376"/>
      <c r="K55" s="376"/>
      <c r="L55" s="376"/>
      <c r="M55" s="376"/>
      <c r="N55" s="376"/>
      <c r="O55" s="376"/>
      <c r="P55" s="376"/>
      <c r="Q55" s="376"/>
      <c r="R55" s="376"/>
      <c r="S55" s="378"/>
      <c r="T55" s="378"/>
      <c r="U55" s="376"/>
      <c r="V55" s="376"/>
      <c r="W55" s="376"/>
      <c r="X55" s="376"/>
      <c r="Y55" s="376"/>
      <c r="Z55" s="376"/>
      <c r="AA55" s="376"/>
      <c r="AB55" s="376"/>
      <c r="AC55" s="376"/>
      <c r="AD55" s="376"/>
      <c r="AE55" s="376"/>
      <c r="AF55" s="376"/>
      <c r="AG55" s="376"/>
      <c r="AH55" s="376"/>
      <c r="AI55" s="376"/>
      <c r="AJ55" s="376"/>
      <c r="AK55" s="376"/>
      <c r="AL55" s="376"/>
      <c r="AM55" s="376"/>
      <c r="AN55" s="378"/>
      <c r="AO55" s="378"/>
      <c r="AP55" s="377"/>
      <c r="AQ55" s="376"/>
      <c r="AR55" s="376"/>
      <c r="AS55" s="376"/>
      <c r="AT55" s="483"/>
      <c r="AU55" s="483"/>
      <c r="AV55" s="483"/>
      <c r="AW55" s="483"/>
      <c r="AX55" s="483"/>
      <c r="AY55" s="483"/>
      <c r="AZ55" s="483"/>
      <c r="BA55" s="483"/>
      <c r="BB55" s="483"/>
      <c r="BC55" s="483"/>
      <c r="BD55" s="483"/>
      <c r="BE55" s="483"/>
      <c r="BF55" s="483"/>
      <c r="BG55" s="483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62"/>
      <c r="BS55" s="49"/>
      <c r="BT55" s="69">
        <f t="shared" si="16"/>
        <v>0</v>
      </c>
    </row>
    <row r="56" spans="1:72">
      <c r="A56" s="548"/>
      <c r="B56" s="376"/>
      <c r="C56" s="378"/>
      <c r="D56" s="376"/>
      <c r="E56" s="376"/>
      <c r="F56" s="376"/>
      <c r="G56" s="376"/>
      <c r="H56" s="376"/>
      <c r="I56" s="376"/>
      <c r="J56" s="376"/>
      <c r="K56" s="376"/>
      <c r="L56" s="376"/>
      <c r="M56" s="376"/>
      <c r="N56" s="376"/>
      <c r="O56" s="376"/>
      <c r="P56" s="376"/>
      <c r="Q56" s="376"/>
      <c r="R56" s="376"/>
      <c r="S56" s="378"/>
      <c r="T56" s="378"/>
      <c r="U56" s="376"/>
      <c r="V56" s="376"/>
      <c r="W56" s="376"/>
      <c r="X56" s="376"/>
      <c r="Y56" s="376"/>
      <c r="Z56" s="376"/>
      <c r="AA56" s="376"/>
      <c r="AB56" s="376"/>
      <c r="AC56" s="376"/>
      <c r="AD56" s="376"/>
      <c r="AE56" s="376"/>
      <c r="AF56" s="376"/>
      <c r="AG56" s="376"/>
      <c r="AH56" s="376"/>
      <c r="AI56" s="376"/>
      <c r="AJ56" s="376"/>
      <c r="AK56" s="376"/>
      <c r="AL56" s="376"/>
      <c r="AM56" s="376"/>
      <c r="AN56" s="378"/>
      <c r="AO56" s="378"/>
      <c r="AP56" s="377"/>
      <c r="AQ56" s="376"/>
      <c r="AR56" s="376"/>
      <c r="AS56" s="376"/>
      <c r="AT56" s="483"/>
      <c r="AU56" s="483"/>
      <c r="AV56" s="483"/>
      <c r="AW56" s="483"/>
      <c r="AX56" s="483"/>
      <c r="AY56" s="483"/>
      <c r="AZ56" s="483"/>
      <c r="BA56" s="483"/>
      <c r="BB56" s="483"/>
      <c r="BC56" s="483"/>
      <c r="BD56" s="483"/>
      <c r="BE56" s="483"/>
      <c r="BF56" s="483"/>
      <c r="BG56" s="483"/>
      <c r="BH56" s="56"/>
      <c r="BI56" s="56"/>
      <c r="BJ56" s="56"/>
      <c r="BK56" s="56"/>
      <c r="BL56" s="56"/>
      <c r="BM56" s="56"/>
      <c r="BN56" s="56"/>
      <c r="BO56" s="56"/>
      <c r="BP56" s="56"/>
      <c r="BQ56" s="56"/>
      <c r="BR56" s="62"/>
      <c r="BS56" s="49"/>
      <c r="BT56" s="69">
        <f t="shared" si="16"/>
        <v>0</v>
      </c>
    </row>
    <row r="57" spans="1:72" s="259" customFormat="1" ht="9" customHeight="1">
      <c r="A57" s="548"/>
      <c r="B57" s="376"/>
      <c r="C57" s="378"/>
      <c r="D57" s="376"/>
      <c r="E57" s="376"/>
      <c r="F57" s="376"/>
      <c r="G57" s="376"/>
      <c r="H57" s="376"/>
      <c r="I57" s="376"/>
      <c r="J57" s="376"/>
      <c r="K57" s="376"/>
      <c r="L57" s="376"/>
      <c r="M57" s="376"/>
      <c r="N57" s="376"/>
      <c r="O57" s="376"/>
      <c r="P57" s="376"/>
      <c r="Q57" s="376"/>
      <c r="R57" s="376"/>
      <c r="S57" s="378"/>
      <c r="T57" s="378"/>
      <c r="U57" s="376"/>
      <c r="V57" s="376"/>
      <c r="W57" s="376"/>
      <c r="X57" s="376"/>
      <c r="Y57" s="376"/>
      <c r="Z57" s="376"/>
      <c r="AA57" s="376"/>
      <c r="AB57" s="376"/>
      <c r="AC57" s="376"/>
      <c r="AD57" s="376"/>
      <c r="AE57" s="376"/>
      <c r="AF57" s="376"/>
      <c r="AG57" s="376"/>
      <c r="AH57" s="376"/>
      <c r="AI57" s="376"/>
      <c r="AJ57" s="376"/>
      <c r="AK57" s="376"/>
      <c r="AL57" s="376"/>
      <c r="AM57" s="376"/>
      <c r="AN57" s="378"/>
      <c r="AO57" s="378"/>
      <c r="AP57" s="377"/>
      <c r="AQ57" s="376"/>
      <c r="AR57" s="376"/>
      <c r="AS57" s="376"/>
      <c r="AT57" s="509"/>
      <c r="AU57" s="509"/>
      <c r="AV57" s="509"/>
      <c r="AW57" s="509"/>
      <c r="AX57" s="509"/>
      <c r="AY57" s="509"/>
      <c r="AZ57" s="509"/>
      <c r="BA57" s="509"/>
      <c r="BB57" s="509"/>
      <c r="BC57" s="509"/>
      <c r="BD57" s="509"/>
      <c r="BE57" s="509"/>
      <c r="BF57" s="509"/>
      <c r="BG57" s="509"/>
      <c r="BH57" s="256"/>
      <c r="BI57" s="256"/>
      <c r="BJ57" s="256"/>
      <c r="BK57" s="256"/>
      <c r="BL57" s="256"/>
      <c r="BM57" s="256"/>
      <c r="BN57" s="256"/>
      <c r="BO57" s="256"/>
      <c r="BP57" s="256"/>
      <c r="BQ57" s="256"/>
      <c r="BR57" s="257"/>
      <c r="BS57" s="258"/>
      <c r="BT57" s="69">
        <f t="shared" si="16"/>
        <v>0</v>
      </c>
    </row>
    <row r="58" spans="1:72" ht="7.5" thickBot="1">
      <c r="A58" s="548"/>
      <c r="B58" s="376"/>
      <c r="C58" s="378"/>
      <c r="D58" s="376"/>
      <c r="E58" s="376"/>
      <c r="F58" s="376"/>
      <c r="G58" s="376"/>
      <c r="H58" s="376"/>
      <c r="I58" s="376"/>
      <c r="J58" s="376"/>
      <c r="K58" s="376"/>
      <c r="L58" s="376"/>
      <c r="M58" s="376"/>
      <c r="N58" s="376"/>
      <c r="O58" s="376"/>
      <c r="P58" s="376"/>
      <c r="Q58" s="376"/>
      <c r="R58" s="376"/>
      <c r="S58" s="378"/>
      <c r="T58" s="378"/>
      <c r="U58" s="376"/>
      <c r="V58" s="376"/>
      <c r="W58" s="376"/>
      <c r="X58" s="376"/>
      <c r="Y58" s="376"/>
      <c r="Z58" s="376"/>
      <c r="AA58" s="376"/>
      <c r="AB58" s="376"/>
      <c r="AC58" s="376"/>
      <c r="AD58" s="376"/>
      <c r="AE58" s="376"/>
      <c r="AF58" s="376"/>
      <c r="AG58" s="376"/>
      <c r="AH58" s="376"/>
      <c r="AI58" s="376"/>
      <c r="AJ58" s="376"/>
      <c r="AK58" s="376"/>
      <c r="AL58" s="376"/>
      <c r="AM58" s="376"/>
      <c r="AN58" s="378"/>
      <c r="AO58" s="378"/>
      <c r="AP58" s="377"/>
      <c r="AQ58" s="376"/>
      <c r="AR58" s="376"/>
      <c r="AS58" s="376"/>
      <c r="AT58" s="483"/>
      <c r="AU58" s="483"/>
      <c r="AV58" s="483"/>
      <c r="AW58" s="483"/>
      <c r="AX58" s="483"/>
      <c r="AY58" s="483"/>
      <c r="AZ58" s="483"/>
      <c r="BA58" s="483"/>
      <c r="BB58" s="483"/>
      <c r="BC58" s="483"/>
      <c r="BD58" s="483"/>
      <c r="BE58" s="483"/>
      <c r="BF58" s="483"/>
      <c r="BG58" s="483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R58" s="62"/>
      <c r="BS58" s="49"/>
      <c r="BT58" s="69">
        <f t="shared" si="16"/>
        <v>0</v>
      </c>
    </row>
    <row r="59" spans="1:72" ht="11.5" thickTop="1" thickBot="1">
      <c r="A59" s="127" t="s">
        <v>80</v>
      </c>
      <c r="B59" s="63">
        <f t="shared" ref="B59:J59" si="17">SUM(B52:B58)</f>
        <v>0</v>
      </c>
      <c r="C59" s="125">
        <f t="shared" si="17"/>
        <v>0</v>
      </c>
      <c r="D59" s="63">
        <f t="shared" si="17"/>
        <v>0</v>
      </c>
      <c r="E59" s="63">
        <f t="shared" si="17"/>
        <v>0</v>
      </c>
      <c r="F59" s="63">
        <f t="shared" si="17"/>
        <v>0</v>
      </c>
      <c r="G59" s="63">
        <f t="shared" si="17"/>
        <v>0</v>
      </c>
      <c r="H59" s="63">
        <f t="shared" si="17"/>
        <v>0</v>
      </c>
      <c r="I59" s="63">
        <f t="shared" si="17"/>
        <v>0</v>
      </c>
      <c r="J59" s="63">
        <f t="shared" si="17"/>
        <v>0</v>
      </c>
      <c r="K59" s="63">
        <f t="shared" ref="K59:W59" si="18">SUM(K52:K58)</f>
        <v>0</v>
      </c>
      <c r="L59" s="63">
        <f>SUM(L52:L58)</f>
        <v>0</v>
      </c>
      <c r="M59" s="63">
        <f>SUM(M52:M58)</f>
        <v>0</v>
      </c>
      <c r="N59" s="63">
        <f>SUM(N52:N58)</f>
        <v>0</v>
      </c>
      <c r="O59" s="63">
        <f>SUM(O52:O58)</f>
        <v>0</v>
      </c>
      <c r="P59" s="63">
        <f t="shared" si="18"/>
        <v>0</v>
      </c>
      <c r="Q59" s="63">
        <f t="shared" si="18"/>
        <v>0</v>
      </c>
      <c r="R59" s="63">
        <f t="shared" si="18"/>
        <v>0</v>
      </c>
      <c r="S59" s="91">
        <f t="shared" si="18"/>
        <v>0</v>
      </c>
      <c r="T59" s="91">
        <f t="shared" si="18"/>
        <v>0</v>
      </c>
      <c r="U59" s="63">
        <f t="shared" si="18"/>
        <v>0</v>
      </c>
      <c r="V59" s="63">
        <f>SUM(V52:V58)</f>
        <v>0</v>
      </c>
      <c r="W59" s="63">
        <f t="shared" si="18"/>
        <v>0</v>
      </c>
      <c r="X59" s="63">
        <f>SUM(X52:X58)</f>
        <v>0</v>
      </c>
      <c r="Y59" s="63">
        <f t="shared" ref="Y59:AI59" si="19">SUM(Y52:Y58)</f>
        <v>0</v>
      </c>
      <c r="Z59" s="63">
        <f t="shared" si="19"/>
        <v>0</v>
      </c>
      <c r="AA59" s="63">
        <f t="shared" si="19"/>
        <v>0</v>
      </c>
      <c r="AB59" s="63">
        <f t="shared" si="19"/>
        <v>0</v>
      </c>
      <c r="AC59" s="63">
        <f t="shared" si="19"/>
        <v>0</v>
      </c>
      <c r="AD59" s="63">
        <f t="shared" si="19"/>
        <v>0</v>
      </c>
      <c r="AE59" s="63">
        <f t="shared" si="19"/>
        <v>0</v>
      </c>
      <c r="AF59" s="63">
        <f t="shared" si="19"/>
        <v>0</v>
      </c>
      <c r="AG59" s="63">
        <f t="shared" si="19"/>
        <v>0</v>
      </c>
      <c r="AH59" s="63">
        <f t="shared" si="19"/>
        <v>0</v>
      </c>
      <c r="AI59" s="63">
        <f t="shared" si="19"/>
        <v>0</v>
      </c>
      <c r="AJ59" s="63">
        <f t="shared" ref="AJ59:AP59" si="20">SUM(AJ52:AJ58)</f>
        <v>0</v>
      </c>
      <c r="AK59" s="63">
        <f t="shared" si="20"/>
        <v>0</v>
      </c>
      <c r="AL59" s="63">
        <f t="shared" si="20"/>
        <v>0</v>
      </c>
      <c r="AM59" s="63">
        <f t="shared" si="20"/>
        <v>0</v>
      </c>
      <c r="AN59" s="91">
        <f t="shared" si="20"/>
        <v>0</v>
      </c>
      <c r="AO59" s="91">
        <f t="shared" si="20"/>
        <v>0</v>
      </c>
      <c r="AP59" s="125">
        <f t="shared" si="20"/>
        <v>0</v>
      </c>
      <c r="AQ59" s="63">
        <f t="shared" ref="AQ59:BP59" si="21">SUM(AQ52:AQ58)</f>
        <v>0</v>
      </c>
      <c r="AR59" s="63">
        <f t="shared" si="21"/>
        <v>0</v>
      </c>
      <c r="AS59" s="63">
        <f t="shared" si="21"/>
        <v>0</v>
      </c>
      <c r="AT59" s="63">
        <f t="shared" si="21"/>
        <v>0</v>
      </c>
      <c r="AU59" s="63">
        <f t="shared" si="21"/>
        <v>0</v>
      </c>
      <c r="AV59" s="63">
        <f t="shared" si="21"/>
        <v>0</v>
      </c>
      <c r="AW59" s="63">
        <f t="shared" si="21"/>
        <v>0</v>
      </c>
      <c r="AX59" s="63">
        <f t="shared" si="21"/>
        <v>0</v>
      </c>
      <c r="AY59" s="63">
        <f t="shared" si="21"/>
        <v>0</v>
      </c>
      <c r="AZ59" s="63">
        <f t="shared" si="21"/>
        <v>0</v>
      </c>
      <c r="BA59" s="63">
        <f t="shared" si="21"/>
        <v>0</v>
      </c>
      <c r="BB59" s="63">
        <f t="shared" si="21"/>
        <v>0</v>
      </c>
      <c r="BC59" s="63">
        <f t="shared" si="21"/>
        <v>0</v>
      </c>
      <c r="BD59" s="63">
        <f>SUM(BD52:BD58)</f>
        <v>0</v>
      </c>
      <c r="BE59" s="63">
        <f>SUM(BE52:BE58)</f>
        <v>0</v>
      </c>
      <c r="BF59" s="63">
        <f t="shared" si="21"/>
        <v>0</v>
      </c>
      <c r="BG59" s="63">
        <f t="shared" si="21"/>
        <v>0</v>
      </c>
      <c r="BH59" s="63">
        <f t="shared" si="21"/>
        <v>0</v>
      </c>
      <c r="BI59" s="63">
        <f t="shared" si="21"/>
        <v>0</v>
      </c>
      <c r="BJ59" s="63">
        <f t="shared" si="21"/>
        <v>0</v>
      </c>
      <c r="BK59" s="63">
        <f t="shared" si="21"/>
        <v>0</v>
      </c>
      <c r="BL59" s="63">
        <f t="shared" si="21"/>
        <v>0</v>
      </c>
      <c r="BM59" s="63">
        <f t="shared" si="21"/>
        <v>0</v>
      </c>
      <c r="BN59" s="63">
        <f t="shared" si="21"/>
        <v>0</v>
      </c>
      <c r="BO59" s="63">
        <f t="shared" si="21"/>
        <v>0</v>
      </c>
      <c r="BP59" s="63">
        <f t="shared" si="21"/>
        <v>0</v>
      </c>
      <c r="BQ59" s="63">
        <f>SUM(BQ52:BQ58)</f>
        <v>0</v>
      </c>
      <c r="BR59" s="132">
        <f>BR52</f>
        <v>0</v>
      </c>
      <c r="BS59" s="49"/>
      <c r="BT59" s="295">
        <f>SUM(B59:BR59)</f>
        <v>0</v>
      </c>
    </row>
    <row r="60" spans="1:72" ht="8" thickTop="1" thickBot="1">
      <c r="A60" s="128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1"/>
      <c r="BT60" s="70"/>
    </row>
    <row r="61" spans="1:72" ht="11" thickTop="1">
      <c r="A61" s="124" t="s">
        <v>43</v>
      </c>
      <c r="B61" s="4"/>
      <c r="C61" s="16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16"/>
      <c r="T61" s="16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16"/>
      <c r="AO61" s="16"/>
      <c r="AP61" s="3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5"/>
      <c r="BS61" s="9"/>
      <c r="BT61" s="1"/>
    </row>
    <row r="62" spans="1:72">
      <c r="A62" s="548" t="s">
        <v>261</v>
      </c>
      <c r="B62" s="376"/>
      <c r="C62" s="378"/>
      <c r="D62" s="376"/>
      <c r="E62" s="376"/>
      <c r="F62" s="376"/>
      <c r="G62" s="376"/>
      <c r="H62" s="376"/>
      <c r="I62" s="376"/>
      <c r="J62" s="376"/>
      <c r="K62" s="376"/>
      <c r="L62" s="376"/>
      <c r="M62" s="376"/>
      <c r="N62" s="376"/>
      <c r="O62" s="376"/>
      <c r="P62" s="376"/>
      <c r="Q62" s="376"/>
      <c r="R62" s="376"/>
      <c r="S62" s="378"/>
      <c r="T62" s="378"/>
      <c r="U62" s="376"/>
      <c r="V62" s="376"/>
      <c r="W62" s="376"/>
      <c r="X62" s="376"/>
      <c r="Y62" s="376"/>
      <c r="Z62" s="376"/>
      <c r="AA62" s="376"/>
      <c r="AB62" s="376"/>
      <c r="AC62" s="376"/>
      <c r="AD62" s="376"/>
      <c r="AE62" s="376"/>
      <c r="AF62" s="376"/>
      <c r="AG62" s="376"/>
      <c r="AH62" s="376"/>
      <c r="AI62" s="376"/>
      <c r="AJ62" s="376"/>
      <c r="AK62" s="376"/>
      <c r="AL62" s="376"/>
      <c r="AM62" s="376"/>
      <c r="AN62" s="378"/>
      <c r="AO62" s="378"/>
      <c r="AP62" s="377"/>
      <c r="AQ62" s="376"/>
      <c r="AR62" s="376">
        <v>3.95</v>
      </c>
      <c r="AS62" s="376"/>
      <c r="AT62" s="376"/>
      <c r="AU62" s="376"/>
      <c r="AV62" s="376"/>
      <c r="AW62" s="376"/>
      <c r="AX62" s="376"/>
      <c r="AY62" s="376"/>
      <c r="AZ62" s="376"/>
      <c r="BA62" s="378"/>
      <c r="BB62" s="376"/>
      <c r="BC62" s="376"/>
      <c r="BD62" s="376"/>
      <c r="BE62" s="376"/>
      <c r="BF62" s="376"/>
      <c r="BG62" s="376"/>
      <c r="BH62" s="378"/>
      <c r="BI62" s="56"/>
      <c r="BJ62" s="56"/>
      <c r="BK62" s="56"/>
      <c r="BL62" s="56"/>
      <c r="BM62" s="56"/>
      <c r="BN62" s="56"/>
      <c r="BO62" s="56"/>
      <c r="BP62" s="56"/>
      <c r="BQ62" s="56"/>
      <c r="BR62" s="62"/>
      <c r="BS62" s="49"/>
      <c r="BT62" s="69">
        <f>SUM(C62:BR62)</f>
        <v>3.95</v>
      </c>
    </row>
    <row r="63" spans="1:72">
      <c r="A63" s="864" t="s">
        <v>265</v>
      </c>
      <c r="B63" s="636"/>
      <c r="C63" s="637"/>
      <c r="D63" s="636"/>
      <c r="E63" s="636"/>
      <c r="F63" s="636"/>
      <c r="G63" s="636"/>
      <c r="H63" s="636"/>
      <c r="I63" s="636"/>
      <c r="J63" s="636"/>
      <c r="K63" s="636"/>
      <c r="L63" s="636"/>
      <c r="M63" s="636"/>
      <c r="N63" s="636"/>
      <c r="O63" s="636"/>
      <c r="P63" s="636"/>
      <c r="Q63" s="636"/>
      <c r="R63" s="636"/>
      <c r="S63" s="637"/>
      <c r="T63" s="637"/>
      <c r="U63" s="636"/>
      <c r="V63" s="636"/>
      <c r="W63" s="636"/>
      <c r="X63" s="636"/>
      <c r="Y63" s="636"/>
      <c r="Z63" s="636"/>
      <c r="AA63" s="636"/>
      <c r="AB63" s="636"/>
      <c r="AC63" s="636"/>
      <c r="AD63" s="636"/>
      <c r="AE63" s="636"/>
      <c r="AF63" s="636"/>
      <c r="AG63" s="636">
        <v>6</v>
      </c>
      <c r="AH63" s="636"/>
      <c r="AI63" s="636"/>
      <c r="AJ63" s="636"/>
      <c r="AK63" s="636"/>
      <c r="AL63" s="636"/>
      <c r="AM63" s="636"/>
      <c r="AN63" s="637"/>
      <c r="AO63" s="637"/>
      <c r="AP63" s="638"/>
      <c r="AQ63" s="636"/>
      <c r="AR63" s="636"/>
      <c r="AS63" s="636"/>
      <c r="AT63" s="376"/>
      <c r="AU63" s="376"/>
      <c r="AV63" s="376"/>
      <c r="AW63" s="376"/>
      <c r="AX63" s="376"/>
      <c r="AY63" s="376"/>
      <c r="AZ63" s="376"/>
      <c r="BA63" s="378"/>
      <c r="BB63" s="376"/>
      <c r="BC63" s="376"/>
      <c r="BD63" s="376"/>
      <c r="BE63" s="376"/>
      <c r="BF63" s="376"/>
      <c r="BG63" s="376"/>
      <c r="BH63" s="378"/>
      <c r="BI63" s="56"/>
      <c r="BJ63" s="56"/>
      <c r="BK63" s="56"/>
      <c r="BL63" s="56"/>
      <c r="BM63" s="56"/>
      <c r="BN63" s="56"/>
      <c r="BO63" s="56"/>
      <c r="BP63" s="56"/>
      <c r="BQ63" s="56"/>
      <c r="BR63" s="62"/>
      <c r="BS63" s="49"/>
      <c r="BT63" s="69">
        <f t="shared" ref="BT63" si="22">SUM(C63:BR63)</f>
        <v>6</v>
      </c>
    </row>
    <row r="64" spans="1:72">
      <c r="A64" s="864"/>
      <c r="B64" s="636"/>
      <c r="C64" s="63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7"/>
      <c r="T64" s="637"/>
      <c r="U64" s="636"/>
      <c r="V64" s="636"/>
      <c r="W64" s="636"/>
      <c r="X64" s="636"/>
      <c r="Y64" s="636"/>
      <c r="Z64" s="636"/>
      <c r="AA64" s="636"/>
      <c r="AB64" s="636"/>
      <c r="AC64" s="636"/>
      <c r="AD64" s="636"/>
      <c r="AE64" s="636"/>
      <c r="AF64" s="636"/>
      <c r="AG64" s="636"/>
      <c r="AH64" s="636"/>
      <c r="AI64" s="636"/>
      <c r="AJ64" s="636"/>
      <c r="AK64" s="636"/>
      <c r="AL64" s="636"/>
      <c r="AM64" s="636"/>
      <c r="AN64" s="637"/>
      <c r="AO64" s="637"/>
      <c r="AP64" s="638"/>
      <c r="AQ64" s="636"/>
      <c r="AR64" s="636"/>
      <c r="AS64" s="636"/>
      <c r="AT64" s="376"/>
      <c r="AU64" s="376"/>
      <c r="AV64" s="376"/>
      <c r="AW64" s="376"/>
      <c r="AX64" s="376"/>
      <c r="AY64" s="376"/>
      <c r="AZ64" s="376"/>
      <c r="BA64" s="378"/>
      <c r="BB64" s="376"/>
      <c r="BC64" s="376"/>
      <c r="BD64" s="376"/>
      <c r="BE64" s="376"/>
      <c r="BF64" s="376"/>
      <c r="BG64" s="376"/>
      <c r="BH64" s="378"/>
      <c r="BI64" s="56"/>
      <c r="BJ64" s="56"/>
      <c r="BK64" s="56"/>
      <c r="BL64" s="56"/>
      <c r="BM64" s="56"/>
      <c r="BN64" s="56"/>
      <c r="BO64" s="56"/>
      <c r="BP64" s="56"/>
      <c r="BQ64" s="56"/>
      <c r="BR64" s="62"/>
      <c r="BS64" s="49"/>
      <c r="BT64" s="69"/>
    </row>
    <row r="65" spans="1:72">
      <c r="A65" s="864"/>
      <c r="B65" s="636"/>
      <c r="C65" s="637"/>
      <c r="D65" s="636"/>
      <c r="E65" s="636"/>
      <c r="F65" s="636"/>
      <c r="G65" s="636"/>
      <c r="H65" s="636"/>
      <c r="I65" s="636"/>
      <c r="J65" s="636"/>
      <c r="K65" s="636"/>
      <c r="L65" s="636"/>
      <c r="M65" s="636"/>
      <c r="N65" s="636"/>
      <c r="O65" s="636"/>
      <c r="P65" s="636"/>
      <c r="Q65" s="636"/>
      <c r="R65" s="636"/>
      <c r="S65" s="637"/>
      <c r="T65" s="637"/>
      <c r="U65" s="636"/>
      <c r="V65" s="636"/>
      <c r="W65" s="636"/>
      <c r="X65" s="636"/>
      <c r="Y65" s="636"/>
      <c r="Z65" s="636"/>
      <c r="AA65" s="636"/>
      <c r="AB65" s="636"/>
      <c r="AC65" s="636"/>
      <c r="AD65" s="636"/>
      <c r="AE65" s="636"/>
      <c r="AF65" s="636"/>
      <c r="AG65" s="636"/>
      <c r="AH65" s="636"/>
      <c r="AI65" s="636"/>
      <c r="AJ65" s="636"/>
      <c r="AK65" s="636"/>
      <c r="AL65" s="636"/>
      <c r="AM65" s="636"/>
      <c r="AN65" s="637"/>
      <c r="AO65" s="637"/>
      <c r="AP65" s="638"/>
      <c r="AQ65" s="636"/>
      <c r="AR65" s="636"/>
      <c r="AS65" s="636"/>
      <c r="AT65" s="376"/>
      <c r="AU65" s="376"/>
      <c r="AV65" s="376"/>
      <c r="AW65" s="376"/>
      <c r="AX65" s="376"/>
      <c r="AY65" s="376"/>
      <c r="AZ65" s="376"/>
      <c r="BA65" s="378"/>
      <c r="BB65" s="376"/>
      <c r="BC65" s="376"/>
      <c r="BD65" s="376"/>
      <c r="BE65" s="376"/>
      <c r="BF65" s="376"/>
      <c r="BG65" s="376"/>
      <c r="BH65" s="378"/>
      <c r="BI65" s="56"/>
      <c r="BJ65" s="56"/>
      <c r="BK65" s="56"/>
      <c r="BL65" s="56"/>
      <c r="BM65" s="56"/>
      <c r="BN65" s="56"/>
      <c r="BO65" s="56"/>
      <c r="BP65" s="56"/>
      <c r="BQ65" s="56"/>
      <c r="BR65" s="62"/>
      <c r="BS65" s="49"/>
      <c r="BT65" s="69"/>
    </row>
    <row r="66" spans="1:72">
      <c r="A66" s="864"/>
      <c r="B66" s="636"/>
      <c r="C66" s="637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7"/>
      <c r="T66" s="637"/>
      <c r="U66" s="636"/>
      <c r="V66" s="636"/>
      <c r="W66" s="636"/>
      <c r="X66" s="636"/>
      <c r="Y66" s="636"/>
      <c r="Z66" s="636"/>
      <c r="AA66" s="636"/>
      <c r="AB66" s="636"/>
      <c r="AC66" s="636"/>
      <c r="AD66" s="636"/>
      <c r="AE66" s="636"/>
      <c r="AF66" s="636"/>
      <c r="AG66" s="636"/>
      <c r="AH66" s="636"/>
      <c r="AI66" s="636"/>
      <c r="AJ66" s="636"/>
      <c r="AK66" s="636"/>
      <c r="AL66" s="636"/>
      <c r="AM66" s="636"/>
      <c r="AN66" s="637"/>
      <c r="AO66" s="637"/>
      <c r="AP66" s="638"/>
      <c r="AQ66" s="636"/>
      <c r="AR66" s="636"/>
      <c r="AS66" s="636"/>
      <c r="AT66" s="376"/>
      <c r="AU66" s="376"/>
      <c r="AV66" s="376"/>
      <c r="AW66" s="376"/>
      <c r="AX66" s="376"/>
      <c r="AY66" s="376"/>
      <c r="AZ66" s="376"/>
      <c r="BA66" s="378"/>
      <c r="BB66" s="376"/>
      <c r="BC66" s="376"/>
      <c r="BD66" s="376"/>
      <c r="BE66" s="376"/>
      <c r="BF66" s="376"/>
      <c r="BG66" s="376"/>
      <c r="BH66" s="378"/>
      <c r="BI66" s="56"/>
      <c r="BJ66" s="56"/>
      <c r="BK66" s="56"/>
      <c r="BL66" s="56"/>
      <c r="BM66" s="56"/>
      <c r="BN66" s="56"/>
      <c r="BO66" s="56"/>
      <c r="BP66" s="56"/>
      <c r="BQ66" s="56"/>
      <c r="BR66" s="62"/>
      <c r="BS66" s="49"/>
      <c r="BT66" s="69"/>
    </row>
    <row r="67" spans="1:72">
      <c r="A67" s="864"/>
      <c r="B67" s="636"/>
      <c r="C67" s="637"/>
      <c r="D67" s="636"/>
      <c r="E67" s="636"/>
      <c r="F67" s="636"/>
      <c r="G67" s="636"/>
      <c r="H67" s="636"/>
      <c r="I67" s="636"/>
      <c r="J67" s="636"/>
      <c r="K67" s="636"/>
      <c r="L67" s="636"/>
      <c r="M67" s="636"/>
      <c r="N67" s="636"/>
      <c r="O67" s="636"/>
      <c r="P67" s="636"/>
      <c r="Q67" s="636"/>
      <c r="R67" s="636"/>
      <c r="S67" s="637"/>
      <c r="T67" s="637"/>
      <c r="U67" s="636"/>
      <c r="V67" s="636"/>
      <c r="W67" s="636"/>
      <c r="X67" s="636"/>
      <c r="Y67" s="636"/>
      <c r="Z67" s="636"/>
      <c r="AA67" s="636"/>
      <c r="AB67" s="636"/>
      <c r="AC67" s="636"/>
      <c r="AD67" s="636"/>
      <c r="AE67" s="636"/>
      <c r="AF67" s="636"/>
      <c r="AG67" s="636"/>
      <c r="AH67" s="636"/>
      <c r="AI67" s="636"/>
      <c r="AJ67" s="636"/>
      <c r="AK67" s="636"/>
      <c r="AL67" s="636"/>
      <c r="AM67" s="636"/>
      <c r="AN67" s="637"/>
      <c r="AO67" s="637"/>
      <c r="AP67" s="638"/>
      <c r="AQ67" s="636"/>
      <c r="AR67" s="636"/>
      <c r="AS67" s="636"/>
      <c r="AT67" s="376"/>
      <c r="AU67" s="376"/>
      <c r="AV67" s="376"/>
      <c r="AW67" s="376"/>
      <c r="AX67" s="376"/>
      <c r="AY67" s="376"/>
      <c r="AZ67" s="376"/>
      <c r="BA67" s="378"/>
      <c r="BB67" s="376"/>
      <c r="BC67" s="376"/>
      <c r="BD67" s="376"/>
      <c r="BE67" s="376"/>
      <c r="BF67" s="376"/>
      <c r="BG67" s="376"/>
      <c r="BH67" s="378"/>
      <c r="BI67" s="56"/>
      <c r="BJ67" s="56"/>
      <c r="BK67" s="56"/>
      <c r="BL67" s="56"/>
      <c r="BM67" s="56"/>
      <c r="BN67" s="56"/>
      <c r="BO67" s="56"/>
      <c r="BP67" s="56"/>
      <c r="BQ67" s="56"/>
      <c r="BR67" s="62"/>
      <c r="BS67" s="49"/>
      <c r="BT67" s="69">
        <f t="shared" ref="BT67" si="23">SUM(C67:BR67)</f>
        <v>0</v>
      </c>
    </row>
    <row r="68" spans="1:72">
      <c r="A68" s="864"/>
      <c r="B68" s="636"/>
      <c r="C68" s="637"/>
      <c r="D68" s="636"/>
      <c r="E68" s="636"/>
      <c r="F68" s="636"/>
      <c r="G68" s="636"/>
      <c r="H68" s="636"/>
      <c r="I68" s="636"/>
      <c r="J68" s="636"/>
      <c r="K68" s="636"/>
      <c r="L68" s="636"/>
      <c r="M68" s="636"/>
      <c r="N68" s="636"/>
      <c r="O68" s="636"/>
      <c r="P68" s="636"/>
      <c r="Q68" s="636"/>
      <c r="R68" s="636"/>
      <c r="S68" s="637"/>
      <c r="T68" s="637"/>
      <c r="U68" s="636"/>
      <c r="V68" s="636"/>
      <c r="W68" s="636"/>
      <c r="X68" s="636"/>
      <c r="Y68" s="636"/>
      <c r="Z68" s="636"/>
      <c r="AA68" s="636"/>
      <c r="AB68" s="636"/>
      <c r="AC68" s="636"/>
      <c r="AD68" s="636"/>
      <c r="AE68" s="636"/>
      <c r="AF68" s="636"/>
      <c r="AG68" s="636"/>
      <c r="AH68" s="636"/>
      <c r="AI68" s="636"/>
      <c r="AJ68" s="636"/>
      <c r="AK68" s="636"/>
      <c r="AL68" s="636"/>
      <c r="AM68" s="636"/>
      <c r="AN68" s="637"/>
      <c r="AO68" s="637"/>
      <c r="AP68" s="638"/>
      <c r="AQ68" s="636"/>
      <c r="AR68" s="636"/>
      <c r="AS68" s="636"/>
      <c r="AT68" s="376"/>
      <c r="AU68" s="376"/>
      <c r="AV68" s="376"/>
      <c r="AW68" s="376"/>
      <c r="AX68" s="376"/>
      <c r="AY68" s="376"/>
      <c r="AZ68" s="376"/>
      <c r="BA68" s="378"/>
      <c r="BB68" s="376"/>
      <c r="BC68" s="376"/>
      <c r="BD68" s="376"/>
      <c r="BE68" s="376"/>
      <c r="BF68" s="376"/>
      <c r="BG68" s="376"/>
      <c r="BH68" s="378"/>
      <c r="BI68" s="56"/>
      <c r="BJ68" s="56"/>
      <c r="BK68" s="56"/>
      <c r="BL68" s="56"/>
      <c r="BM68" s="56"/>
      <c r="BN68" s="56"/>
      <c r="BO68" s="56"/>
      <c r="BP68" s="56"/>
      <c r="BQ68" s="56"/>
      <c r="BR68" s="62"/>
      <c r="BS68" s="49"/>
      <c r="BT68" s="69"/>
    </row>
    <row r="69" spans="1:72">
      <c r="A69" s="864"/>
      <c r="B69" s="636"/>
      <c r="C69" s="637"/>
      <c r="D69" s="636"/>
      <c r="E69" s="636"/>
      <c r="F69" s="636"/>
      <c r="G69" s="636"/>
      <c r="H69" s="636"/>
      <c r="I69" s="636"/>
      <c r="J69" s="636"/>
      <c r="K69" s="636"/>
      <c r="L69" s="636"/>
      <c r="M69" s="636"/>
      <c r="N69" s="636"/>
      <c r="O69" s="636"/>
      <c r="P69" s="636"/>
      <c r="Q69" s="636"/>
      <c r="R69" s="636"/>
      <c r="S69" s="637"/>
      <c r="T69" s="637"/>
      <c r="U69" s="636"/>
      <c r="V69" s="636"/>
      <c r="W69" s="636"/>
      <c r="X69" s="636"/>
      <c r="Y69" s="636"/>
      <c r="Z69" s="636"/>
      <c r="AA69" s="636"/>
      <c r="AB69" s="636"/>
      <c r="AC69" s="636"/>
      <c r="AD69" s="636"/>
      <c r="AE69" s="636"/>
      <c r="AF69" s="636"/>
      <c r="AG69" s="636"/>
      <c r="AH69" s="636"/>
      <c r="AI69" s="636"/>
      <c r="AJ69" s="636"/>
      <c r="AK69" s="636"/>
      <c r="AL69" s="636"/>
      <c r="AM69" s="636"/>
      <c r="AN69" s="637"/>
      <c r="AO69" s="637"/>
      <c r="AP69" s="638"/>
      <c r="AQ69" s="636"/>
      <c r="AR69" s="636"/>
      <c r="AS69" s="636"/>
      <c r="AT69" s="376"/>
      <c r="AU69" s="376"/>
      <c r="AV69" s="376"/>
      <c r="AW69" s="376"/>
      <c r="AX69" s="376"/>
      <c r="AY69" s="376"/>
      <c r="AZ69" s="376"/>
      <c r="BA69" s="378"/>
      <c r="BB69" s="376"/>
      <c r="BC69" s="376"/>
      <c r="BD69" s="376"/>
      <c r="BE69" s="376"/>
      <c r="BF69" s="376"/>
      <c r="BG69" s="376"/>
      <c r="BH69" s="378"/>
      <c r="BI69" s="56"/>
      <c r="BJ69" s="56"/>
      <c r="BK69" s="56"/>
      <c r="BL69" s="56"/>
      <c r="BM69" s="56"/>
      <c r="BN69" s="56"/>
      <c r="BO69" s="56"/>
      <c r="BP69" s="56"/>
      <c r="BQ69" s="56"/>
      <c r="BR69" s="62"/>
      <c r="BS69" s="49"/>
      <c r="BT69" s="69">
        <f t="shared" ref="BT69:BT72" si="24">SUM(C69:BR69)</f>
        <v>0</v>
      </c>
    </row>
    <row r="70" spans="1:72">
      <c r="A70" s="635"/>
      <c r="B70" s="636"/>
      <c r="C70" s="637"/>
      <c r="D70" s="636"/>
      <c r="E70" s="636"/>
      <c r="F70" s="636"/>
      <c r="G70" s="636"/>
      <c r="H70" s="636"/>
      <c r="I70" s="636"/>
      <c r="J70" s="636"/>
      <c r="K70" s="636"/>
      <c r="L70" s="636"/>
      <c r="M70" s="636"/>
      <c r="N70" s="636"/>
      <c r="O70" s="636"/>
      <c r="P70" s="636"/>
      <c r="Q70" s="636"/>
      <c r="R70" s="636"/>
      <c r="S70" s="637"/>
      <c r="T70" s="637"/>
      <c r="U70" s="636"/>
      <c r="V70" s="636"/>
      <c r="W70" s="636"/>
      <c r="X70" s="636"/>
      <c r="Y70" s="636"/>
      <c r="Z70" s="636"/>
      <c r="AA70" s="636"/>
      <c r="AB70" s="636"/>
      <c r="AC70" s="636"/>
      <c r="AD70" s="636"/>
      <c r="AE70" s="636"/>
      <c r="AF70" s="636"/>
      <c r="AG70" s="636"/>
      <c r="AH70" s="636"/>
      <c r="AI70" s="636"/>
      <c r="AJ70" s="636"/>
      <c r="AK70" s="636"/>
      <c r="AL70" s="636"/>
      <c r="AM70" s="636"/>
      <c r="AN70" s="637"/>
      <c r="AO70" s="637"/>
      <c r="AP70" s="638"/>
      <c r="AQ70" s="636"/>
      <c r="AR70" s="636"/>
      <c r="AS70" s="636"/>
      <c r="AT70" s="636"/>
      <c r="AU70" s="636"/>
      <c r="AV70" s="636"/>
      <c r="AW70" s="636"/>
      <c r="AX70" s="636"/>
      <c r="AY70" s="636"/>
      <c r="AZ70" s="636"/>
      <c r="BA70" s="637"/>
      <c r="BB70" s="636"/>
      <c r="BC70" s="636"/>
      <c r="BD70" s="636"/>
      <c r="BE70" s="636"/>
      <c r="BF70" s="636"/>
      <c r="BG70" s="636"/>
      <c r="BH70" s="637"/>
      <c r="BI70" s="56"/>
      <c r="BJ70" s="56"/>
      <c r="BK70" s="56"/>
      <c r="BL70" s="56"/>
      <c r="BM70" s="56"/>
      <c r="BN70" s="56"/>
      <c r="BO70" s="56"/>
      <c r="BP70" s="56"/>
      <c r="BQ70" s="56"/>
      <c r="BR70" s="62"/>
      <c r="BS70" s="49"/>
      <c r="BT70" s="69">
        <f t="shared" si="24"/>
        <v>0</v>
      </c>
    </row>
    <row r="71" spans="1:72">
      <c r="A71" s="382"/>
      <c r="B71" s="383"/>
      <c r="C71" s="385"/>
      <c r="D71" s="383"/>
      <c r="E71" s="383"/>
      <c r="F71" s="383"/>
      <c r="G71" s="383"/>
      <c r="H71" s="383"/>
      <c r="I71" s="383"/>
      <c r="J71" s="383"/>
      <c r="K71" s="383"/>
      <c r="L71" s="383"/>
      <c r="M71" s="383"/>
      <c r="N71" s="383"/>
      <c r="O71" s="383"/>
      <c r="P71" s="383"/>
      <c r="Q71" s="383"/>
      <c r="R71" s="383"/>
      <c r="S71" s="385"/>
      <c r="T71" s="385"/>
      <c r="U71" s="383"/>
      <c r="V71" s="383"/>
      <c r="W71" s="383"/>
      <c r="X71" s="383"/>
      <c r="Y71" s="383"/>
      <c r="Z71" s="383"/>
      <c r="AA71" s="383"/>
      <c r="AB71" s="383"/>
      <c r="AC71" s="383"/>
      <c r="AD71" s="383"/>
      <c r="AE71" s="383"/>
      <c r="AF71" s="383"/>
      <c r="AG71" s="383"/>
      <c r="AH71" s="383"/>
      <c r="AI71" s="383"/>
      <c r="AJ71" s="383"/>
      <c r="AK71" s="383"/>
      <c r="AL71" s="383"/>
      <c r="AM71" s="383"/>
      <c r="AN71" s="385"/>
      <c r="AO71" s="385"/>
      <c r="AP71" s="384"/>
      <c r="AQ71" s="383"/>
      <c r="AR71" s="383"/>
      <c r="AS71" s="383"/>
      <c r="AT71" s="636"/>
      <c r="AU71" s="636"/>
      <c r="AV71" s="636"/>
      <c r="AW71" s="636"/>
      <c r="AX71" s="636"/>
      <c r="AY71" s="636"/>
      <c r="AZ71" s="636"/>
      <c r="BA71" s="637"/>
      <c r="BB71" s="636"/>
      <c r="BC71" s="636"/>
      <c r="BD71" s="636"/>
      <c r="BE71" s="636"/>
      <c r="BF71" s="636"/>
      <c r="BG71" s="636"/>
      <c r="BH71" s="637"/>
      <c r="BI71" s="56"/>
      <c r="BJ71" s="56"/>
      <c r="BK71" s="56"/>
      <c r="BL71" s="56"/>
      <c r="BM71" s="56"/>
      <c r="BN71" s="56"/>
      <c r="BO71" s="56"/>
      <c r="BP71" s="56"/>
      <c r="BQ71" s="56"/>
      <c r="BR71" s="62"/>
      <c r="BS71" s="49"/>
      <c r="BT71" s="69">
        <f t="shared" si="24"/>
        <v>0</v>
      </c>
    </row>
    <row r="72" spans="1:72">
      <c r="A72" s="635"/>
      <c r="B72" s="636"/>
      <c r="C72" s="637"/>
      <c r="D72" s="636"/>
      <c r="E72" s="636"/>
      <c r="F72" s="636"/>
      <c r="G72" s="636"/>
      <c r="H72" s="636"/>
      <c r="I72" s="636"/>
      <c r="J72" s="636"/>
      <c r="K72" s="636"/>
      <c r="L72" s="636"/>
      <c r="M72" s="636"/>
      <c r="N72" s="636"/>
      <c r="O72" s="636"/>
      <c r="P72" s="636"/>
      <c r="Q72" s="636"/>
      <c r="R72" s="636"/>
      <c r="S72" s="637"/>
      <c r="T72" s="637"/>
      <c r="U72" s="636"/>
      <c r="V72" s="636"/>
      <c r="W72" s="636"/>
      <c r="X72" s="636"/>
      <c r="Y72" s="636"/>
      <c r="Z72" s="636"/>
      <c r="AA72" s="636"/>
      <c r="AB72" s="636"/>
      <c r="AC72" s="636"/>
      <c r="AD72" s="636"/>
      <c r="AE72" s="636"/>
      <c r="AF72" s="636"/>
      <c r="AG72" s="636"/>
      <c r="AH72" s="636"/>
      <c r="AI72" s="636"/>
      <c r="AJ72" s="636"/>
      <c r="AK72" s="636"/>
      <c r="AL72" s="636"/>
      <c r="AM72" s="636"/>
      <c r="AN72" s="637"/>
      <c r="AO72" s="637"/>
      <c r="AP72" s="638"/>
      <c r="AQ72" s="636"/>
      <c r="AR72" s="636"/>
      <c r="AS72" s="636"/>
      <c r="AT72" s="636"/>
      <c r="AU72" s="636"/>
      <c r="AV72" s="636"/>
      <c r="AW72" s="636"/>
      <c r="AX72" s="636"/>
      <c r="AY72" s="636"/>
      <c r="AZ72" s="636"/>
      <c r="BA72" s="637"/>
      <c r="BB72" s="636"/>
      <c r="BC72" s="636"/>
      <c r="BD72" s="636"/>
      <c r="BE72" s="636"/>
      <c r="BF72" s="636"/>
      <c r="BG72" s="636"/>
      <c r="BH72" s="637"/>
      <c r="BI72" s="56"/>
      <c r="BJ72" s="56"/>
      <c r="BK72" s="56"/>
      <c r="BL72" s="56"/>
      <c r="BM72" s="56"/>
      <c r="BN72" s="56"/>
      <c r="BO72" s="56"/>
      <c r="BP72" s="56"/>
      <c r="BQ72" s="56"/>
      <c r="BR72" s="62"/>
      <c r="BS72" s="49"/>
      <c r="BT72" s="69">
        <f t="shared" si="24"/>
        <v>0</v>
      </c>
    </row>
    <row r="73" spans="1:72" ht="7.5" thickBot="1">
      <c r="A73" s="635"/>
      <c r="B73" s="636"/>
      <c r="C73" s="637"/>
      <c r="D73" s="636"/>
      <c r="E73" s="636"/>
      <c r="F73" s="636"/>
      <c r="G73" s="636"/>
      <c r="H73" s="636"/>
      <c r="I73" s="636"/>
      <c r="J73" s="636"/>
      <c r="K73" s="636"/>
      <c r="L73" s="636"/>
      <c r="M73" s="636"/>
      <c r="N73" s="636"/>
      <c r="O73" s="636"/>
      <c r="P73" s="636"/>
      <c r="Q73" s="636"/>
      <c r="R73" s="636"/>
      <c r="S73" s="637"/>
      <c r="T73" s="637"/>
      <c r="U73" s="636"/>
      <c r="V73" s="636"/>
      <c r="W73" s="636"/>
      <c r="X73" s="636"/>
      <c r="Y73" s="636"/>
      <c r="Z73" s="636"/>
      <c r="AA73" s="636"/>
      <c r="AB73" s="636"/>
      <c r="AC73" s="636"/>
      <c r="AD73" s="636"/>
      <c r="AE73" s="636"/>
      <c r="AF73" s="636"/>
      <c r="AG73" s="636"/>
      <c r="AH73" s="636"/>
      <c r="AI73" s="636"/>
      <c r="AJ73" s="636"/>
      <c r="AK73" s="636"/>
      <c r="AL73" s="636"/>
      <c r="AM73" s="636"/>
      <c r="AN73" s="637"/>
      <c r="AO73" s="637"/>
      <c r="AP73" s="638"/>
      <c r="AQ73" s="636"/>
      <c r="AR73" s="636"/>
      <c r="AS73" s="636"/>
      <c r="AT73" s="636"/>
      <c r="AU73" s="636"/>
      <c r="AV73" s="636"/>
      <c r="AW73" s="636"/>
      <c r="AX73" s="636"/>
      <c r="AY73" s="636"/>
      <c r="AZ73" s="636"/>
      <c r="BA73" s="637"/>
      <c r="BB73" s="636"/>
      <c r="BC73" s="636"/>
      <c r="BD73" s="636"/>
      <c r="BE73" s="636"/>
      <c r="BF73" s="636"/>
      <c r="BG73" s="636"/>
      <c r="BH73" s="637"/>
      <c r="BI73" s="56"/>
      <c r="BJ73" s="56"/>
      <c r="BK73" s="56"/>
      <c r="BL73" s="56"/>
      <c r="BM73" s="56"/>
      <c r="BN73" s="56"/>
      <c r="BO73" s="56"/>
      <c r="BP73" s="56"/>
      <c r="BQ73" s="56"/>
      <c r="BR73" s="62"/>
      <c r="BS73" s="49"/>
      <c r="BT73" s="69">
        <f t="shared" ref="BT73:BT81" si="25">SUM(C73:BR73)</f>
        <v>0</v>
      </c>
    </row>
    <row r="74" spans="1:72" hidden="1">
      <c r="A74" s="635"/>
      <c r="B74" s="636"/>
      <c r="C74" s="637"/>
      <c r="D74" s="636"/>
      <c r="E74" s="636"/>
      <c r="F74" s="636"/>
      <c r="G74" s="636"/>
      <c r="H74" s="636"/>
      <c r="I74" s="636"/>
      <c r="J74" s="636"/>
      <c r="K74" s="636"/>
      <c r="L74" s="636"/>
      <c r="M74" s="636"/>
      <c r="N74" s="636"/>
      <c r="O74" s="636"/>
      <c r="P74" s="636"/>
      <c r="Q74" s="636"/>
      <c r="R74" s="636"/>
      <c r="S74" s="637"/>
      <c r="T74" s="637"/>
      <c r="U74" s="636"/>
      <c r="V74" s="636"/>
      <c r="W74" s="636"/>
      <c r="X74" s="636"/>
      <c r="Y74" s="636"/>
      <c r="Z74" s="636"/>
      <c r="AA74" s="636"/>
      <c r="AB74" s="636"/>
      <c r="AC74" s="636"/>
      <c r="AD74" s="636"/>
      <c r="AE74" s="636"/>
      <c r="AF74" s="636"/>
      <c r="AG74" s="636"/>
      <c r="AH74" s="636"/>
      <c r="AI74" s="636"/>
      <c r="AJ74" s="636"/>
      <c r="AK74" s="636"/>
      <c r="AL74" s="636"/>
      <c r="AM74" s="636"/>
      <c r="AN74" s="637"/>
      <c r="AO74" s="637"/>
      <c r="AP74" s="638"/>
      <c r="AQ74" s="636"/>
      <c r="AR74" s="636"/>
      <c r="AS74" s="636"/>
      <c r="AT74" s="636"/>
      <c r="AU74" s="636"/>
      <c r="AV74" s="636"/>
      <c r="AW74" s="636"/>
      <c r="AX74" s="636"/>
      <c r="AY74" s="636"/>
      <c r="AZ74" s="636"/>
      <c r="BA74" s="637"/>
      <c r="BB74" s="636"/>
      <c r="BC74" s="636"/>
      <c r="BD74" s="636"/>
      <c r="BE74" s="636"/>
      <c r="BF74" s="636"/>
      <c r="BG74" s="636"/>
      <c r="BH74" s="637"/>
      <c r="BI74" s="56"/>
      <c r="BJ74" s="56"/>
      <c r="BK74" s="56"/>
      <c r="BL74" s="56"/>
      <c r="BM74" s="56"/>
      <c r="BN74" s="56"/>
      <c r="BO74" s="56"/>
      <c r="BP74" s="56"/>
      <c r="BQ74" s="56"/>
      <c r="BR74" s="62"/>
      <c r="BS74" s="49"/>
      <c r="BT74" s="69">
        <f t="shared" si="25"/>
        <v>0</v>
      </c>
    </row>
    <row r="75" spans="1:72" hidden="1">
      <c r="A75" s="635"/>
      <c r="B75" s="636"/>
      <c r="C75" s="637"/>
      <c r="D75" s="636"/>
      <c r="E75" s="636"/>
      <c r="F75" s="636"/>
      <c r="G75" s="636"/>
      <c r="H75" s="636"/>
      <c r="I75" s="636"/>
      <c r="J75" s="636"/>
      <c r="K75" s="636"/>
      <c r="L75" s="636"/>
      <c r="M75" s="636"/>
      <c r="N75" s="636"/>
      <c r="O75" s="636"/>
      <c r="P75" s="636"/>
      <c r="Q75" s="636"/>
      <c r="R75" s="636"/>
      <c r="S75" s="637"/>
      <c r="T75" s="637"/>
      <c r="U75" s="636"/>
      <c r="V75" s="636"/>
      <c r="W75" s="636"/>
      <c r="X75" s="636"/>
      <c r="Y75" s="636"/>
      <c r="Z75" s="636"/>
      <c r="AA75" s="636"/>
      <c r="AB75" s="636"/>
      <c r="AC75" s="636"/>
      <c r="AD75" s="636"/>
      <c r="AE75" s="636"/>
      <c r="AF75" s="636"/>
      <c r="AG75" s="636"/>
      <c r="AH75" s="636"/>
      <c r="AI75" s="636"/>
      <c r="AJ75" s="636"/>
      <c r="AK75" s="636"/>
      <c r="AL75" s="636"/>
      <c r="AM75" s="636"/>
      <c r="AN75" s="637"/>
      <c r="AO75" s="637"/>
      <c r="AP75" s="638"/>
      <c r="AQ75" s="636"/>
      <c r="AR75" s="636"/>
      <c r="AS75" s="636"/>
      <c r="AT75" s="636"/>
      <c r="AU75" s="636"/>
      <c r="AV75" s="636"/>
      <c r="AW75" s="636"/>
      <c r="AX75" s="636"/>
      <c r="AY75" s="636"/>
      <c r="AZ75" s="636"/>
      <c r="BA75" s="637"/>
      <c r="BB75" s="636"/>
      <c r="BC75" s="636"/>
      <c r="BD75" s="636"/>
      <c r="BE75" s="636"/>
      <c r="BF75" s="636"/>
      <c r="BG75" s="636"/>
      <c r="BH75" s="637"/>
      <c r="BI75" s="56"/>
      <c r="BJ75" s="56"/>
      <c r="BK75" s="56"/>
      <c r="BL75" s="56"/>
      <c r="BM75" s="56"/>
      <c r="BN75" s="56"/>
      <c r="BO75" s="56"/>
      <c r="BP75" s="56"/>
      <c r="BQ75" s="56"/>
      <c r="BR75" s="62"/>
      <c r="BS75" s="49"/>
      <c r="BT75" s="69">
        <f t="shared" si="25"/>
        <v>0</v>
      </c>
    </row>
    <row r="76" spans="1:72" hidden="1">
      <c r="A76" s="382"/>
      <c r="B76" s="383"/>
      <c r="C76" s="385"/>
      <c r="D76" s="383"/>
      <c r="E76" s="383"/>
      <c r="F76" s="383"/>
      <c r="G76" s="383"/>
      <c r="H76" s="383"/>
      <c r="I76" s="383"/>
      <c r="J76" s="383"/>
      <c r="K76" s="383"/>
      <c r="L76" s="383"/>
      <c r="M76" s="383"/>
      <c r="N76" s="383"/>
      <c r="O76" s="383"/>
      <c r="P76" s="383"/>
      <c r="Q76" s="383"/>
      <c r="R76" s="383"/>
      <c r="S76" s="385"/>
      <c r="T76" s="385"/>
      <c r="U76" s="383"/>
      <c r="V76" s="383"/>
      <c r="W76" s="383"/>
      <c r="X76" s="383"/>
      <c r="Y76" s="383"/>
      <c r="Z76" s="383"/>
      <c r="AA76" s="383"/>
      <c r="AB76" s="383"/>
      <c r="AC76" s="383"/>
      <c r="AD76" s="383"/>
      <c r="AE76" s="383"/>
      <c r="AF76" s="383"/>
      <c r="AG76" s="383"/>
      <c r="AH76" s="383"/>
      <c r="AI76" s="383"/>
      <c r="AJ76" s="383"/>
      <c r="AK76" s="383"/>
      <c r="AL76" s="383"/>
      <c r="AM76" s="383"/>
      <c r="AN76" s="385"/>
      <c r="AO76" s="385"/>
      <c r="AP76" s="384"/>
      <c r="AQ76" s="383"/>
      <c r="AR76" s="383"/>
      <c r="AS76" s="383"/>
      <c r="AT76" s="383"/>
      <c r="AU76" s="383"/>
      <c r="AV76" s="383"/>
      <c r="AW76" s="383"/>
      <c r="AX76" s="383"/>
      <c r="AY76" s="383"/>
      <c r="AZ76" s="383"/>
      <c r="BA76" s="385"/>
      <c r="BB76" s="383"/>
      <c r="BC76" s="383"/>
      <c r="BD76" s="383"/>
      <c r="BE76" s="383"/>
      <c r="BF76" s="383"/>
      <c r="BG76" s="383"/>
      <c r="BH76" s="385"/>
      <c r="BI76" s="56"/>
      <c r="BJ76" s="56"/>
      <c r="BK76" s="56"/>
      <c r="BL76" s="56"/>
      <c r="BM76" s="56"/>
      <c r="BN76" s="56"/>
      <c r="BO76" s="56"/>
      <c r="BP76" s="56"/>
      <c r="BQ76" s="56"/>
      <c r="BR76" s="62"/>
      <c r="BS76" s="49"/>
      <c r="BT76" s="69">
        <f t="shared" si="25"/>
        <v>0</v>
      </c>
    </row>
    <row r="77" spans="1:72" hidden="1">
      <c r="A77" s="635"/>
      <c r="B77" s="636"/>
      <c r="C77" s="637"/>
      <c r="D77" s="636"/>
      <c r="E77" s="636"/>
      <c r="F77" s="636"/>
      <c r="G77" s="636"/>
      <c r="H77" s="636"/>
      <c r="I77" s="636"/>
      <c r="J77" s="636"/>
      <c r="K77" s="636"/>
      <c r="L77" s="636"/>
      <c r="M77" s="636"/>
      <c r="N77" s="636"/>
      <c r="O77" s="636"/>
      <c r="P77" s="636"/>
      <c r="Q77" s="636"/>
      <c r="R77" s="636"/>
      <c r="S77" s="637"/>
      <c r="T77" s="637"/>
      <c r="U77" s="636"/>
      <c r="V77" s="636"/>
      <c r="W77" s="636"/>
      <c r="X77" s="636"/>
      <c r="Y77" s="636"/>
      <c r="Z77" s="636"/>
      <c r="AA77" s="636"/>
      <c r="AB77" s="636"/>
      <c r="AC77" s="636"/>
      <c r="AD77" s="636"/>
      <c r="AE77" s="636"/>
      <c r="AF77" s="636"/>
      <c r="AG77" s="636"/>
      <c r="AH77" s="636"/>
      <c r="AI77" s="636"/>
      <c r="AJ77" s="636"/>
      <c r="AK77" s="636"/>
      <c r="AL77" s="636"/>
      <c r="AM77" s="636"/>
      <c r="AN77" s="637"/>
      <c r="AO77" s="637"/>
      <c r="AP77" s="638"/>
      <c r="AQ77" s="636"/>
      <c r="AR77" s="636"/>
      <c r="AS77" s="636"/>
      <c r="AT77" s="636"/>
      <c r="AU77" s="636"/>
      <c r="AV77" s="636"/>
      <c r="AW77" s="636"/>
      <c r="AX77" s="636"/>
      <c r="AY77" s="636"/>
      <c r="AZ77" s="636"/>
      <c r="BA77" s="637"/>
      <c r="BB77" s="636"/>
      <c r="BC77" s="636"/>
      <c r="BD77" s="636"/>
      <c r="BE77" s="636"/>
      <c r="BF77" s="636"/>
      <c r="BG77" s="636"/>
      <c r="BH77" s="637"/>
      <c r="BI77" s="56"/>
      <c r="BJ77" s="56"/>
      <c r="BK77" s="56"/>
      <c r="BL77" s="56"/>
      <c r="BM77" s="56"/>
      <c r="BN77" s="56"/>
      <c r="BO77" s="56"/>
      <c r="BP77" s="56"/>
      <c r="BQ77" s="56"/>
      <c r="BR77" s="62"/>
      <c r="BS77" s="49"/>
      <c r="BT77" s="69">
        <f t="shared" si="25"/>
        <v>0</v>
      </c>
    </row>
    <row r="78" spans="1:72" hidden="1">
      <c r="A78" s="635"/>
      <c r="B78" s="636"/>
      <c r="C78" s="637"/>
      <c r="D78" s="636"/>
      <c r="E78" s="636"/>
      <c r="F78" s="636"/>
      <c r="G78" s="636"/>
      <c r="H78" s="636"/>
      <c r="I78" s="636"/>
      <c r="J78" s="636"/>
      <c r="K78" s="636"/>
      <c r="L78" s="636"/>
      <c r="M78" s="636"/>
      <c r="N78" s="636"/>
      <c r="O78" s="636"/>
      <c r="P78" s="636"/>
      <c r="Q78" s="636"/>
      <c r="R78" s="636"/>
      <c r="S78" s="637"/>
      <c r="T78" s="637"/>
      <c r="U78" s="636"/>
      <c r="V78" s="636"/>
      <c r="W78" s="636"/>
      <c r="X78" s="636"/>
      <c r="Y78" s="636"/>
      <c r="Z78" s="636"/>
      <c r="AA78" s="636"/>
      <c r="AB78" s="636"/>
      <c r="AC78" s="636"/>
      <c r="AD78" s="636"/>
      <c r="AE78" s="636"/>
      <c r="AF78" s="636"/>
      <c r="AG78" s="636"/>
      <c r="AH78" s="636"/>
      <c r="AI78" s="636"/>
      <c r="AJ78" s="636"/>
      <c r="AK78" s="636"/>
      <c r="AL78" s="636"/>
      <c r="AM78" s="636"/>
      <c r="AN78" s="637"/>
      <c r="AO78" s="637"/>
      <c r="AP78" s="638"/>
      <c r="AQ78" s="636"/>
      <c r="AR78" s="636"/>
      <c r="AS78" s="636"/>
      <c r="AT78" s="636"/>
      <c r="AU78" s="636"/>
      <c r="AV78" s="636"/>
      <c r="AW78" s="636"/>
      <c r="AX78" s="636"/>
      <c r="AY78" s="636"/>
      <c r="AZ78" s="636"/>
      <c r="BA78" s="637"/>
      <c r="BB78" s="636"/>
      <c r="BC78" s="636"/>
      <c r="BD78" s="636"/>
      <c r="BE78" s="636"/>
      <c r="BF78" s="636"/>
      <c r="BG78" s="636"/>
      <c r="BH78" s="637"/>
      <c r="BI78" s="56"/>
      <c r="BJ78" s="56"/>
      <c r="BK78" s="56"/>
      <c r="BL78" s="56"/>
      <c r="BM78" s="56"/>
      <c r="BN78" s="56"/>
      <c r="BO78" s="56"/>
      <c r="BP78" s="56"/>
      <c r="BQ78" s="56"/>
      <c r="BR78" s="62"/>
      <c r="BS78" s="49"/>
      <c r="BT78" s="69">
        <f t="shared" si="25"/>
        <v>0</v>
      </c>
    </row>
    <row r="79" spans="1:72" hidden="1">
      <c r="A79" s="635"/>
      <c r="B79" s="636"/>
      <c r="C79" s="637"/>
      <c r="D79" s="636"/>
      <c r="E79" s="636"/>
      <c r="F79" s="636"/>
      <c r="G79" s="636"/>
      <c r="H79" s="636"/>
      <c r="I79" s="636"/>
      <c r="J79" s="636"/>
      <c r="K79" s="636"/>
      <c r="L79" s="636"/>
      <c r="M79" s="636"/>
      <c r="N79" s="636"/>
      <c r="O79" s="636"/>
      <c r="P79" s="636"/>
      <c r="Q79" s="636"/>
      <c r="R79" s="636"/>
      <c r="S79" s="637"/>
      <c r="T79" s="637"/>
      <c r="U79" s="636"/>
      <c r="V79" s="636"/>
      <c r="W79" s="636"/>
      <c r="X79" s="636"/>
      <c r="Y79" s="636"/>
      <c r="Z79" s="636"/>
      <c r="AA79" s="636"/>
      <c r="AB79" s="636"/>
      <c r="AC79" s="636"/>
      <c r="AD79" s="636"/>
      <c r="AE79" s="636"/>
      <c r="AF79" s="636"/>
      <c r="AG79" s="636"/>
      <c r="AH79" s="636"/>
      <c r="AI79" s="636"/>
      <c r="AJ79" s="636"/>
      <c r="AK79" s="636"/>
      <c r="AL79" s="636"/>
      <c r="AM79" s="636"/>
      <c r="AN79" s="637"/>
      <c r="AO79" s="637"/>
      <c r="AP79" s="638"/>
      <c r="AQ79" s="636"/>
      <c r="AR79" s="636"/>
      <c r="AS79" s="636"/>
      <c r="AT79" s="636"/>
      <c r="AU79" s="636"/>
      <c r="AV79" s="636"/>
      <c r="AW79" s="636"/>
      <c r="AX79" s="636"/>
      <c r="AY79" s="636"/>
      <c r="AZ79" s="636"/>
      <c r="BA79" s="637"/>
      <c r="BB79" s="636"/>
      <c r="BC79" s="636"/>
      <c r="BD79" s="636"/>
      <c r="BE79" s="636"/>
      <c r="BF79" s="636"/>
      <c r="BG79" s="636"/>
      <c r="BH79" s="637"/>
      <c r="BI79" s="56"/>
      <c r="BJ79" s="56"/>
      <c r="BK79" s="56"/>
      <c r="BL79" s="56"/>
      <c r="BM79" s="56"/>
      <c r="BN79" s="56"/>
      <c r="BO79" s="56"/>
      <c r="BP79" s="56"/>
      <c r="BQ79" s="56"/>
      <c r="BR79" s="62"/>
      <c r="BS79" s="49"/>
      <c r="BT79" s="69">
        <f t="shared" si="25"/>
        <v>0</v>
      </c>
    </row>
    <row r="80" spans="1:72" hidden="1">
      <c r="A80" s="635"/>
      <c r="B80" s="636"/>
      <c r="C80" s="637"/>
      <c r="D80" s="636"/>
      <c r="E80" s="636"/>
      <c r="F80" s="636"/>
      <c r="G80" s="636"/>
      <c r="H80" s="636"/>
      <c r="I80" s="636"/>
      <c r="J80" s="636"/>
      <c r="K80" s="636"/>
      <c r="L80" s="636"/>
      <c r="M80" s="636"/>
      <c r="N80" s="636"/>
      <c r="O80" s="636"/>
      <c r="P80" s="636"/>
      <c r="Q80" s="636"/>
      <c r="R80" s="636"/>
      <c r="S80" s="637"/>
      <c r="T80" s="637"/>
      <c r="U80" s="636"/>
      <c r="V80" s="636"/>
      <c r="W80" s="636"/>
      <c r="X80" s="636"/>
      <c r="Y80" s="636"/>
      <c r="Z80" s="636"/>
      <c r="AA80" s="636"/>
      <c r="AB80" s="636"/>
      <c r="AC80" s="636"/>
      <c r="AD80" s="636"/>
      <c r="AE80" s="636"/>
      <c r="AF80" s="636"/>
      <c r="AG80" s="636"/>
      <c r="AH80" s="636"/>
      <c r="AI80" s="636"/>
      <c r="AJ80" s="636"/>
      <c r="AK80" s="636"/>
      <c r="AL80" s="636"/>
      <c r="AM80" s="636"/>
      <c r="AN80" s="637"/>
      <c r="AO80" s="637"/>
      <c r="AP80" s="638"/>
      <c r="AQ80" s="636"/>
      <c r="AR80" s="636"/>
      <c r="AS80" s="636"/>
      <c r="AT80" s="636"/>
      <c r="AU80" s="636"/>
      <c r="AV80" s="636"/>
      <c r="AW80" s="636"/>
      <c r="AX80" s="636"/>
      <c r="AY80" s="636"/>
      <c r="AZ80" s="636"/>
      <c r="BA80" s="637"/>
      <c r="BB80" s="636"/>
      <c r="BC80" s="636"/>
      <c r="BD80" s="636"/>
      <c r="BE80" s="636"/>
      <c r="BF80" s="636"/>
      <c r="BG80" s="636"/>
      <c r="BH80" s="637"/>
      <c r="BI80" s="56"/>
      <c r="BJ80" s="56"/>
      <c r="BK80" s="56"/>
      <c r="BL80" s="56"/>
      <c r="BM80" s="56"/>
      <c r="BN80" s="56"/>
      <c r="BO80" s="56"/>
      <c r="BP80" s="56"/>
      <c r="BQ80" s="56"/>
      <c r="BR80" s="62"/>
      <c r="BS80" s="49"/>
      <c r="BT80" s="69">
        <f t="shared" si="25"/>
        <v>0</v>
      </c>
    </row>
    <row r="81" spans="1:72" ht="7.5" hidden="1" thickBot="1">
      <c r="A81" s="382"/>
      <c r="B81" s="383"/>
      <c r="C81" s="385"/>
      <c r="D81" s="383"/>
      <c r="E81" s="383"/>
      <c r="F81" s="383"/>
      <c r="G81" s="383"/>
      <c r="H81" s="383"/>
      <c r="I81" s="383"/>
      <c r="J81" s="383"/>
      <c r="K81" s="383"/>
      <c r="L81" s="383"/>
      <c r="M81" s="383"/>
      <c r="N81" s="383"/>
      <c r="O81" s="383"/>
      <c r="P81" s="383"/>
      <c r="Q81" s="383"/>
      <c r="R81" s="383"/>
      <c r="S81" s="385"/>
      <c r="T81" s="385"/>
      <c r="U81" s="383"/>
      <c r="V81" s="383"/>
      <c r="W81" s="383"/>
      <c r="X81" s="383"/>
      <c r="Y81" s="383"/>
      <c r="Z81" s="383"/>
      <c r="AA81" s="383"/>
      <c r="AB81" s="383"/>
      <c r="AC81" s="383"/>
      <c r="AD81" s="383"/>
      <c r="AE81" s="383"/>
      <c r="AF81" s="383"/>
      <c r="AG81" s="383"/>
      <c r="AH81" s="383"/>
      <c r="AI81" s="383"/>
      <c r="AJ81" s="383"/>
      <c r="AK81" s="383"/>
      <c r="AL81" s="383"/>
      <c r="AM81" s="383"/>
      <c r="AN81" s="385"/>
      <c r="AO81" s="385"/>
      <c r="AP81" s="384"/>
      <c r="AQ81" s="383"/>
      <c r="AR81" s="383"/>
      <c r="AS81" s="383"/>
      <c r="AT81" s="383"/>
      <c r="AU81" s="383"/>
      <c r="AV81" s="383"/>
      <c r="AW81" s="383"/>
      <c r="AX81" s="383"/>
      <c r="AY81" s="383"/>
      <c r="AZ81" s="383"/>
      <c r="BA81" s="385"/>
      <c r="BB81" s="383"/>
      <c r="BC81" s="383"/>
      <c r="BD81" s="383"/>
      <c r="BE81" s="383"/>
      <c r="BF81" s="383"/>
      <c r="BG81" s="383"/>
      <c r="BH81" s="385"/>
      <c r="BI81" s="56"/>
      <c r="BJ81" s="56"/>
      <c r="BK81" s="56"/>
      <c r="BL81" s="56"/>
      <c r="BM81" s="56"/>
      <c r="BN81" s="56"/>
      <c r="BO81" s="56"/>
      <c r="BP81" s="56"/>
      <c r="BQ81" s="56"/>
      <c r="BR81" s="62"/>
      <c r="BS81" s="49"/>
      <c r="BT81" s="69">
        <f t="shared" si="25"/>
        <v>0</v>
      </c>
    </row>
    <row r="82" spans="1:72" ht="8" thickTop="1" thickBot="1">
      <c r="A82" s="129" t="s">
        <v>24</v>
      </c>
      <c r="B82" s="63">
        <f t="shared" ref="B82:AG82" si="26">SUM(B62:B81)</f>
        <v>0</v>
      </c>
      <c r="C82" s="91">
        <f t="shared" si="26"/>
        <v>0</v>
      </c>
      <c r="D82" s="63">
        <f t="shared" si="26"/>
        <v>0</v>
      </c>
      <c r="E82" s="63">
        <f t="shared" si="26"/>
        <v>0</v>
      </c>
      <c r="F82" s="63">
        <f t="shared" si="26"/>
        <v>0</v>
      </c>
      <c r="G82" s="63">
        <f t="shared" si="26"/>
        <v>0</v>
      </c>
      <c r="H82" s="63">
        <f t="shared" si="26"/>
        <v>0</v>
      </c>
      <c r="I82" s="63">
        <f t="shared" si="26"/>
        <v>0</v>
      </c>
      <c r="J82" s="63">
        <f t="shared" si="26"/>
        <v>0</v>
      </c>
      <c r="K82" s="63">
        <f t="shared" si="26"/>
        <v>0</v>
      </c>
      <c r="L82" s="63">
        <f t="shared" si="26"/>
        <v>0</v>
      </c>
      <c r="M82" s="63">
        <f t="shared" si="26"/>
        <v>0</v>
      </c>
      <c r="N82" s="63">
        <f t="shared" si="26"/>
        <v>0</v>
      </c>
      <c r="O82" s="63">
        <f t="shared" si="26"/>
        <v>0</v>
      </c>
      <c r="P82" s="63">
        <f t="shared" si="26"/>
        <v>0</v>
      </c>
      <c r="Q82" s="63">
        <f t="shared" si="26"/>
        <v>0</v>
      </c>
      <c r="R82" s="63">
        <f t="shared" si="26"/>
        <v>0</v>
      </c>
      <c r="S82" s="91">
        <f t="shared" si="26"/>
        <v>0</v>
      </c>
      <c r="T82" s="91">
        <f t="shared" si="26"/>
        <v>0</v>
      </c>
      <c r="U82" s="63">
        <f t="shared" si="26"/>
        <v>0</v>
      </c>
      <c r="V82" s="63">
        <f t="shared" si="26"/>
        <v>0</v>
      </c>
      <c r="W82" s="63">
        <f t="shared" si="26"/>
        <v>0</v>
      </c>
      <c r="X82" s="63">
        <f t="shared" si="26"/>
        <v>0</v>
      </c>
      <c r="Y82" s="63">
        <f t="shared" si="26"/>
        <v>0</v>
      </c>
      <c r="Z82" s="63">
        <f t="shared" si="26"/>
        <v>0</v>
      </c>
      <c r="AA82" s="63">
        <f t="shared" si="26"/>
        <v>0</v>
      </c>
      <c r="AB82" s="63">
        <f t="shared" si="26"/>
        <v>0</v>
      </c>
      <c r="AC82" s="63">
        <f t="shared" si="26"/>
        <v>0</v>
      </c>
      <c r="AD82" s="63">
        <f t="shared" si="26"/>
        <v>0</v>
      </c>
      <c r="AE82" s="63">
        <f t="shared" si="26"/>
        <v>0</v>
      </c>
      <c r="AF82" s="63">
        <f t="shared" si="26"/>
        <v>0</v>
      </c>
      <c r="AG82" s="63">
        <f t="shared" si="26"/>
        <v>6</v>
      </c>
      <c r="AH82" s="63">
        <f t="shared" ref="AH82:BM82" si="27">SUM(AH62:AH81)</f>
        <v>0</v>
      </c>
      <c r="AI82" s="63">
        <f t="shared" si="27"/>
        <v>0</v>
      </c>
      <c r="AJ82" s="63">
        <f t="shared" si="27"/>
        <v>0</v>
      </c>
      <c r="AK82" s="63">
        <f t="shared" si="27"/>
        <v>0</v>
      </c>
      <c r="AL82" s="63">
        <f t="shared" si="27"/>
        <v>0</v>
      </c>
      <c r="AM82" s="63">
        <f t="shared" si="27"/>
        <v>0</v>
      </c>
      <c r="AN82" s="91">
        <f t="shared" si="27"/>
        <v>0</v>
      </c>
      <c r="AO82" s="91">
        <f t="shared" si="27"/>
        <v>0</v>
      </c>
      <c r="AP82" s="125">
        <f t="shared" si="27"/>
        <v>0</v>
      </c>
      <c r="AQ82" s="63">
        <f t="shared" si="27"/>
        <v>0</v>
      </c>
      <c r="AR82" s="63">
        <f t="shared" si="27"/>
        <v>3.95</v>
      </c>
      <c r="AS82" s="63">
        <f t="shared" si="27"/>
        <v>0</v>
      </c>
      <c r="AT82" s="63">
        <f t="shared" si="27"/>
        <v>0</v>
      </c>
      <c r="AU82" s="63">
        <f t="shared" si="27"/>
        <v>0</v>
      </c>
      <c r="AV82" s="63">
        <f t="shared" si="27"/>
        <v>0</v>
      </c>
      <c r="AW82" s="63">
        <f t="shared" si="27"/>
        <v>0</v>
      </c>
      <c r="AX82" s="63">
        <f t="shared" si="27"/>
        <v>0</v>
      </c>
      <c r="AY82" s="63">
        <f t="shared" si="27"/>
        <v>0</v>
      </c>
      <c r="AZ82" s="63">
        <f t="shared" si="27"/>
        <v>0</v>
      </c>
      <c r="BA82" s="63">
        <f t="shared" si="27"/>
        <v>0</v>
      </c>
      <c r="BB82" s="63">
        <f t="shared" si="27"/>
        <v>0</v>
      </c>
      <c r="BC82" s="63">
        <f t="shared" si="27"/>
        <v>0</v>
      </c>
      <c r="BD82" s="63">
        <f t="shared" si="27"/>
        <v>0</v>
      </c>
      <c r="BE82" s="63">
        <f t="shared" si="27"/>
        <v>0</v>
      </c>
      <c r="BF82" s="63">
        <f t="shared" si="27"/>
        <v>0</v>
      </c>
      <c r="BG82" s="63">
        <f t="shared" si="27"/>
        <v>0</v>
      </c>
      <c r="BH82" s="63">
        <f t="shared" si="27"/>
        <v>0</v>
      </c>
      <c r="BI82" s="63">
        <f t="shared" si="27"/>
        <v>0</v>
      </c>
      <c r="BJ82" s="63">
        <f t="shared" si="27"/>
        <v>0</v>
      </c>
      <c r="BK82" s="63">
        <f t="shared" si="27"/>
        <v>0</v>
      </c>
      <c r="BL82" s="63">
        <f t="shared" si="27"/>
        <v>0</v>
      </c>
      <c r="BM82" s="63">
        <f t="shared" si="27"/>
        <v>0</v>
      </c>
      <c r="BN82" s="63">
        <f t="shared" ref="BN82:BR82" si="28">SUM(BN62:BN81)</f>
        <v>0</v>
      </c>
      <c r="BO82" s="63">
        <f t="shared" si="28"/>
        <v>0</v>
      </c>
      <c r="BP82" s="63">
        <f t="shared" si="28"/>
        <v>0</v>
      </c>
      <c r="BQ82" s="63">
        <f t="shared" si="28"/>
        <v>0</v>
      </c>
      <c r="BR82" s="132">
        <f t="shared" si="28"/>
        <v>0</v>
      </c>
      <c r="BS82" s="49"/>
      <c r="BT82" s="295">
        <f>SUM(B82:BR82)</f>
        <v>9.9499999999999993</v>
      </c>
    </row>
    <row r="83" spans="1:72" ht="7.5" thickTop="1">
      <c r="A83" s="128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1"/>
      <c r="BT83" s="70"/>
    </row>
    <row r="85" spans="1:72">
      <c r="B85" s="131" t="str">
        <f t="shared" ref="B85:AG85" si="29">IF(B41++B48+ B59+B82=0,"HIDE","")</f>
        <v>HIDE</v>
      </c>
      <c r="C85" s="131" t="str">
        <f t="shared" si="29"/>
        <v>HIDE</v>
      </c>
      <c r="D85" s="131" t="str">
        <f t="shared" si="29"/>
        <v>HIDE</v>
      </c>
      <c r="E85" s="131" t="str">
        <f t="shared" si="29"/>
        <v/>
      </c>
      <c r="F85" s="131" t="str">
        <f t="shared" si="29"/>
        <v>HIDE</v>
      </c>
      <c r="G85" s="131" t="str">
        <f t="shared" si="29"/>
        <v>HIDE</v>
      </c>
      <c r="H85" s="131" t="str">
        <f t="shared" si="29"/>
        <v/>
      </c>
      <c r="I85" s="131" t="str">
        <f t="shared" si="29"/>
        <v>HIDE</v>
      </c>
      <c r="J85" s="131" t="str">
        <f t="shared" si="29"/>
        <v/>
      </c>
      <c r="K85" s="131" t="str">
        <f t="shared" si="29"/>
        <v/>
      </c>
      <c r="L85" s="131" t="str">
        <f t="shared" si="29"/>
        <v>HIDE</v>
      </c>
      <c r="M85" s="131" t="str">
        <f t="shared" si="29"/>
        <v>HIDE</v>
      </c>
      <c r="N85" s="131" t="str">
        <f t="shared" si="29"/>
        <v>HIDE</v>
      </c>
      <c r="O85" s="131" t="str">
        <f t="shared" si="29"/>
        <v>HIDE</v>
      </c>
      <c r="P85" s="131" t="str">
        <f t="shared" si="29"/>
        <v>HIDE</v>
      </c>
      <c r="Q85" s="131" t="str">
        <f t="shared" si="29"/>
        <v>HIDE</v>
      </c>
      <c r="R85" s="131" t="str">
        <f t="shared" si="29"/>
        <v>HIDE</v>
      </c>
      <c r="S85" s="131" t="str">
        <f t="shared" si="29"/>
        <v>HIDE</v>
      </c>
      <c r="T85" s="131" t="str">
        <f t="shared" si="29"/>
        <v>HIDE</v>
      </c>
      <c r="U85" s="131" t="str">
        <f t="shared" si="29"/>
        <v/>
      </c>
      <c r="V85" s="131" t="str">
        <f t="shared" si="29"/>
        <v>HIDE</v>
      </c>
      <c r="W85" s="131" t="str">
        <f t="shared" si="29"/>
        <v>HIDE</v>
      </c>
      <c r="X85" s="131" t="str">
        <f t="shared" si="29"/>
        <v>HIDE</v>
      </c>
      <c r="Y85" s="131" t="str">
        <f t="shared" si="29"/>
        <v>HIDE</v>
      </c>
      <c r="Z85" s="131" t="str">
        <f t="shared" si="29"/>
        <v>HIDE</v>
      </c>
      <c r="AA85" s="131" t="str">
        <f t="shared" si="29"/>
        <v>HIDE</v>
      </c>
      <c r="AB85" s="131" t="str">
        <f t="shared" si="29"/>
        <v>HIDE</v>
      </c>
      <c r="AC85" s="131" t="str">
        <f t="shared" si="29"/>
        <v>HIDE</v>
      </c>
      <c r="AD85" s="131" t="str">
        <f t="shared" si="29"/>
        <v>HIDE</v>
      </c>
      <c r="AE85" s="131" t="str">
        <f t="shared" si="29"/>
        <v>HIDE</v>
      </c>
      <c r="AF85" s="131" t="str">
        <f t="shared" si="29"/>
        <v>HIDE</v>
      </c>
      <c r="AG85" s="131" t="str">
        <f t="shared" si="29"/>
        <v/>
      </c>
      <c r="AH85" s="131" t="str">
        <f t="shared" ref="AH85:BQ85" si="30">IF(AH41++AH48+ AH59+AH82=0,"HIDE","")</f>
        <v>HIDE</v>
      </c>
      <c r="AI85" s="131" t="str">
        <f t="shared" si="30"/>
        <v>HIDE</v>
      </c>
      <c r="AJ85" s="131" t="str">
        <f t="shared" si="30"/>
        <v>HIDE</v>
      </c>
      <c r="AK85" s="131" t="str">
        <f t="shared" si="30"/>
        <v>HIDE</v>
      </c>
      <c r="AL85" s="131" t="str">
        <f t="shared" si="30"/>
        <v>HIDE</v>
      </c>
      <c r="AM85" s="131" t="str">
        <f t="shared" si="30"/>
        <v>HIDE</v>
      </c>
      <c r="AN85" s="131" t="str">
        <f t="shared" si="30"/>
        <v>HIDE</v>
      </c>
      <c r="AO85" s="131" t="str">
        <f t="shared" si="30"/>
        <v>HIDE</v>
      </c>
      <c r="AP85" s="131" t="str">
        <f t="shared" si="30"/>
        <v>HIDE</v>
      </c>
      <c r="AQ85" s="131" t="str">
        <f t="shared" si="30"/>
        <v>HIDE</v>
      </c>
      <c r="AR85" s="131" t="str">
        <f t="shared" si="30"/>
        <v/>
      </c>
      <c r="AS85" s="131" t="str">
        <f t="shared" si="30"/>
        <v>HIDE</v>
      </c>
      <c r="AT85" s="131" t="str">
        <f t="shared" si="30"/>
        <v>HIDE</v>
      </c>
      <c r="AU85" s="131" t="str">
        <f t="shared" si="30"/>
        <v>HIDE</v>
      </c>
      <c r="AV85" s="131" t="str">
        <f t="shared" si="30"/>
        <v>HIDE</v>
      </c>
      <c r="AW85" s="131" t="str">
        <f t="shared" si="30"/>
        <v>HIDE</v>
      </c>
      <c r="AX85" s="131" t="str">
        <f t="shared" si="30"/>
        <v>HIDE</v>
      </c>
      <c r="AY85" s="131" t="str">
        <f t="shared" si="30"/>
        <v>HIDE</v>
      </c>
      <c r="AZ85" s="131" t="str">
        <f t="shared" si="30"/>
        <v>HIDE</v>
      </c>
      <c r="BA85" s="131" t="str">
        <f t="shared" si="30"/>
        <v>HIDE</v>
      </c>
      <c r="BB85" s="131" t="str">
        <f t="shared" si="30"/>
        <v>HIDE</v>
      </c>
      <c r="BC85" s="131" t="str">
        <f t="shared" si="30"/>
        <v/>
      </c>
      <c r="BD85" s="131" t="str">
        <f t="shared" si="30"/>
        <v>HIDE</v>
      </c>
      <c r="BE85" s="131" t="str">
        <f t="shared" si="30"/>
        <v>HIDE</v>
      </c>
      <c r="BF85" s="131" t="str">
        <f t="shared" si="30"/>
        <v>HIDE</v>
      </c>
      <c r="BG85" s="131" t="str">
        <f t="shared" si="30"/>
        <v>HIDE</v>
      </c>
      <c r="BH85" s="131" t="str">
        <f t="shared" si="30"/>
        <v>HIDE</v>
      </c>
      <c r="BI85" s="131" t="str">
        <f t="shared" si="30"/>
        <v>HIDE</v>
      </c>
      <c r="BJ85" s="131" t="str">
        <f t="shared" si="30"/>
        <v>HIDE</v>
      </c>
      <c r="BK85" s="131" t="str">
        <f t="shared" si="30"/>
        <v>HIDE</v>
      </c>
      <c r="BL85" s="131" t="str">
        <f t="shared" si="30"/>
        <v>HIDE</v>
      </c>
      <c r="BM85" s="131" t="str">
        <f t="shared" si="30"/>
        <v>HIDE</v>
      </c>
      <c r="BN85" s="131" t="str">
        <f t="shared" si="30"/>
        <v>HIDE</v>
      </c>
      <c r="BO85" s="131" t="str">
        <f t="shared" si="30"/>
        <v>HIDE</v>
      </c>
      <c r="BP85" s="131" t="str">
        <f t="shared" si="30"/>
        <v>HIDE</v>
      </c>
      <c r="BQ85" s="131" t="str">
        <f t="shared" si="30"/>
        <v>HIDE</v>
      </c>
      <c r="BR85" s="133"/>
    </row>
    <row r="86" spans="1:72" ht="14">
      <c r="A86" s="223" t="s">
        <v>104</v>
      </c>
      <c r="B86" s="131" t="s">
        <v>105</v>
      </c>
      <c r="P86" s="131"/>
      <c r="BR86"/>
      <c r="BS86" s="126"/>
    </row>
  </sheetData>
  <phoneticPr fontId="9" type="noConversion"/>
  <pageMargins left="0.35433070866141736" right="0.35433070866141736" top="0.27559055118110237" bottom="0.27559055118110237" header="0" footer="0.27559055118110237"/>
  <pageSetup paperSize="9" orientation="landscape" verticalDpi="4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FM50"/>
  <sheetViews>
    <sheetView showZeros="0" topLeftCell="A7" workbookViewId="0">
      <pane xSplit="1" topLeftCell="B1" activePane="topRight" state="frozen"/>
      <selection activeCell="R6" sqref="R6"/>
      <selection pane="topRight" activeCell="G48" sqref="G48"/>
    </sheetView>
  </sheetViews>
  <sheetFormatPr defaultColWidth="16" defaultRowHeight="7"/>
  <cols>
    <col min="1" max="1" width="48.1640625" style="1" customWidth="1"/>
    <col min="2" max="8" width="11" style="1" customWidth="1"/>
    <col min="9" max="9" width="11.33203125" style="1" customWidth="1"/>
    <col min="10" max="11" width="11" style="1" customWidth="1"/>
    <col min="12" max="16384" width="16" style="1"/>
  </cols>
  <sheetData>
    <row r="1" spans="1:169" ht="36" thickTop="1" thickBot="1">
      <c r="A1" s="220" t="str">
        <f>Summary!$A$2</f>
        <v>OLYMPIC ACCOUNTS</v>
      </c>
      <c r="J1" s="821" t="str">
        <f>Summary!$T$2</f>
        <v>23 January 2020</v>
      </c>
      <c r="L1" s="314">
        <f>SUM(L19:L45)</f>
        <v>0</v>
      </c>
    </row>
    <row r="2" spans="1:169" ht="28" thickTop="1">
      <c r="A2" s="225" t="s">
        <v>116</v>
      </c>
    </row>
    <row r="3" spans="1:169" ht="27.5">
      <c r="A3" s="225" t="s">
        <v>107</v>
      </c>
    </row>
    <row r="4" spans="1:169" ht="18.75" customHeight="1">
      <c r="A4" s="220"/>
      <c r="H4" s="221"/>
    </row>
    <row r="5" spans="1:169" ht="24" customHeight="1" thickBot="1">
      <c r="A5" s="153" t="str">
        <f>CONCATENATE(Summary!$B$1," INCOME - SUBSCRIPTIONS")</f>
        <v>2019 INCOME - SUBSCRIPTIONS</v>
      </c>
      <c r="B5" s="153"/>
    </row>
    <row r="6" spans="1:169" ht="8" thickTop="1" thickBot="1">
      <c r="A6" s="390"/>
      <c r="B6" s="395" t="s">
        <v>123</v>
      </c>
      <c r="C6" s="396" t="s">
        <v>122</v>
      </c>
      <c r="D6" s="398" t="s">
        <v>142</v>
      </c>
      <c r="E6" s="399" t="s">
        <v>119</v>
      </c>
      <c r="F6" s="398" t="s">
        <v>144</v>
      </c>
      <c r="G6" s="398" t="s">
        <v>121</v>
      </c>
      <c r="H6" s="398" t="s">
        <v>67</v>
      </c>
      <c r="I6" s="400" t="s">
        <v>174</v>
      </c>
      <c r="J6" s="62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</row>
    <row r="7" spans="1:169" s="64" customFormat="1" ht="7.5" thickTop="1">
      <c r="A7" s="389" t="s">
        <v>154</v>
      </c>
      <c r="B7" s="397">
        <v>43550</v>
      </c>
      <c r="C7" s="397">
        <v>43493</v>
      </c>
      <c r="D7" s="397">
        <v>43530</v>
      </c>
      <c r="E7" s="397">
        <v>43495</v>
      </c>
      <c r="F7" s="397">
        <v>43539</v>
      </c>
      <c r="G7" s="397">
        <v>43493</v>
      </c>
      <c r="H7" s="397">
        <v>43552</v>
      </c>
      <c r="I7" s="397">
        <v>43496</v>
      </c>
      <c r="J7" s="312"/>
    </row>
    <row r="8" spans="1:169" s="64" customFormat="1">
      <c r="A8" s="623" t="s">
        <v>189</v>
      </c>
      <c r="B8" s="386">
        <v>430</v>
      </c>
      <c r="C8" s="386">
        <v>430</v>
      </c>
      <c r="D8" s="386">
        <v>430</v>
      </c>
      <c r="E8" s="386">
        <v>430</v>
      </c>
      <c r="F8" s="386">
        <v>215</v>
      </c>
      <c r="G8" s="386">
        <v>430</v>
      </c>
      <c r="H8" s="386">
        <v>430</v>
      </c>
      <c r="I8" s="386">
        <v>430</v>
      </c>
      <c r="J8" s="625"/>
    </row>
    <row r="9" spans="1:169" s="64" customFormat="1">
      <c r="A9" s="512" t="s">
        <v>187</v>
      </c>
      <c r="B9" s="386"/>
      <c r="C9" s="386"/>
      <c r="D9" s="386"/>
      <c r="E9" s="386"/>
      <c r="F9" s="386"/>
      <c r="G9" s="386"/>
      <c r="H9" s="386"/>
      <c r="I9" s="386"/>
      <c r="J9" s="312"/>
    </row>
    <row r="10" spans="1:169" s="48" customFormat="1" ht="7.5" thickBot="1">
      <c r="A10" s="388" t="s">
        <v>188</v>
      </c>
      <c r="B10" s="622">
        <f t="shared" ref="B10:I10" si="0">SUM(B8:B9)</f>
        <v>430</v>
      </c>
      <c r="C10" s="622">
        <f t="shared" si="0"/>
        <v>430</v>
      </c>
      <c r="D10" s="622">
        <f t="shared" si="0"/>
        <v>430</v>
      </c>
      <c r="E10" s="622">
        <f t="shared" si="0"/>
        <v>430</v>
      </c>
      <c r="F10" s="622">
        <f t="shared" si="0"/>
        <v>215</v>
      </c>
      <c r="G10" s="622">
        <f t="shared" si="0"/>
        <v>430</v>
      </c>
      <c r="H10" s="622">
        <f t="shared" si="0"/>
        <v>430</v>
      </c>
      <c r="I10" s="622">
        <f t="shared" si="0"/>
        <v>430</v>
      </c>
      <c r="J10" s="584"/>
    </row>
    <row r="11" spans="1:169" s="210" customFormat="1" ht="8" thickTop="1" thickBot="1">
      <c r="A11" s="96" t="s">
        <v>156</v>
      </c>
      <c r="B11" s="363" t="s">
        <v>253</v>
      </c>
      <c r="C11" s="363" t="s">
        <v>253</v>
      </c>
      <c r="D11" s="363" t="s">
        <v>253</v>
      </c>
      <c r="E11" s="363" t="s">
        <v>253</v>
      </c>
      <c r="F11" s="363" t="s">
        <v>253</v>
      </c>
      <c r="G11" s="363" t="s">
        <v>252</v>
      </c>
      <c r="H11" s="363" t="s">
        <v>253</v>
      </c>
      <c r="I11" s="363" t="s">
        <v>253</v>
      </c>
      <c r="J11" s="305"/>
      <c r="M11" s="48"/>
    </row>
    <row r="12" spans="1:169" s="278" customFormat="1" ht="7.5" hidden="1" thickTop="1">
      <c r="A12" s="291"/>
      <c r="B12" s="291">
        <f t="shared" ref="B12:J12" si="1">IF(B11="post bal.",B10,0)</f>
        <v>0</v>
      </c>
      <c r="C12" s="291">
        <f t="shared" si="1"/>
        <v>0</v>
      </c>
      <c r="D12" s="291">
        <f t="shared" si="1"/>
        <v>0</v>
      </c>
      <c r="E12" s="291">
        <f t="shared" si="1"/>
        <v>0</v>
      </c>
      <c r="F12" s="291">
        <f t="shared" si="1"/>
        <v>0</v>
      </c>
      <c r="G12" s="291">
        <f t="shared" si="1"/>
        <v>0</v>
      </c>
      <c r="H12" s="292">
        <f t="shared" si="1"/>
        <v>0</v>
      </c>
      <c r="I12" s="292">
        <f t="shared" si="1"/>
        <v>0</v>
      </c>
      <c r="J12" s="292">
        <f t="shared" si="1"/>
        <v>0</v>
      </c>
      <c r="K12" s="292"/>
      <c r="L12" s="292"/>
      <c r="M12" s="292"/>
      <c r="N12" s="292"/>
      <c r="O12" s="292"/>
      <c r="P12" s="292"/>
      <c r="Q12" s="292"/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2"/>
      <c r="AD12" s="292"/>
    </row>
    <row r="13" spans="1:169" ht="8" thickTop="1" thickBot="1">
      <c r="G13" s="10"/>
      <c r="H13" s="10"/>
      <c r="I13" s="10"/>
      <c r="J13" s="10"/>
      <c r="K13" s="10"/>
    </row>
    <row r="14" spans="1:169" ht="8" thickTop="1" thickBot="1">
      <c r="A14" s="390"/>
      <c r="B14" s="535" t="s">
        <v>120</v>
      </c>
      <c r="C14" s="517"/>
      <c r="D14" s="523"/>
      <c r="E14" s="523"/>
      <c r="F14" s="526"/>
      <c r="G14" s="522"/>
      <c r="H14" s="523"/>
      <c r="I14" s="527"/>
      <c r="J14" s="10"/>
      <c r="K14" s="12" t="s">
        <v>68</v>
      </c>
    </row>
    <row r="15" spans="1:169" ht="7.5" thickTop="1">
      <c r="A15" s="389" t="s">
        <v>154</v>
      </c>
      <c r="B15" s="397">
        <v>43493</v>
      </c>
      <c r="C15" s="397"/>
      <c r="D15" s="524"/>
      <c r="E15" s="524"/>
      <c r="F15" s="524"/>
      <c r="G15" s="524"/>
      <c r="H15" s="524"/>
      <c r="I15" s="525"/>
      <c r="J15" s="10"/>
      <c r="K15" s="289" t="s">
        <v>16</v>
      </c>
    </row>
    <row r="16" spans="1:169">
      <c r="A16" s="388" t="s">
        <v>189</v>
      </c>
      <c r="B16" s="386">
        <v>430</v>
      </c>
      <c r="C16" s="386"/>
      <c r="D16" s="386"/>
      <c r="E16" s="386"/>
      <c r="F16" s="386"/>
      <c r="G16" s="386"/>
      <c r="H16" s="386"/>
      <c r="I16" s="521"/>
      <c r="J16" s="10"/>
      <c r="K16" s="57">
        <f>SUM(B8:J8,B16:J16)</f>
        <v>3655</v>
      </c>
    </row>
    <row r="17" spans="1:107" ht="7.5" thickBot="1">
      <c r="A17" s="512" t="s">
        <v>187</v>
      </c>
      <c r="B17" s="386"/>
      <c r="C17" s="386"/>
      <c r="D17" s="386"/>
      <c r="E17" s="386"/>
      <c r="F17" s="386"/>
      <c r="G17" s="386"/>
      <c r="H17" s="386"/>
      <c r="I17" s="521"/>
      <c r="J17" s="10"/>
      <c r="K17" s="513">
        <f>SUM(B9:J9,B17:J17)</f>
        <v>0</v>
      </c>
    </row>
    <row r="18" spans="1:107" ht="8" thickTop="1" thickBot="1">
      <c r="A18" s="388" t="s">
        <v>188</v>
      </c>
      <c r="B18" s="810">
        <f t="shared" ref="B18:I18" si="2">SUM(B16:B17)</f>
        <v>430</v>
      </c>
      <c r="C18" s="810">
        <f t="shared" si="2"/>
        <v>0</v>
      </c>
      <c r="D18" s="810">
        <f t="shared" si="2"/>
        <v>0</v>
      </c>
      <c r="E18" s="810">
        <f t="shared" si="2"/>
        <v>0</v>
      </c>
      <c r="F18" s="810">
        <f t="shared" si="2"/>
        <v>0</v>
      </c>
      <c r="G18" s="810">
        <f t="shared" si="2"/>
        <v>0</v>
      </c>
      <c r="H18" s="810">
        <f t="shared" si="2"/>
        <v>0</v>
      </c>
      <c r="I18" s="811">
        <f t="shared" si="2"/>
        <v>0</v>
      </c>
      <c r="J18" s="10"/>
      <c r="K18" s="290">
        <f>SUM(B10:J10,B18:J18)</f>
        <v>3655</v>
      </c>
    </row>
    <row r="19" spans="1:107" ht="8" thickTop="1" thickBot="1">
      <c r="A19" s="96" t="s">
        <v>156</v>
      </c>
      <c r="B19" s="363" t="s">
        <v>253</v>
      </c>
      <c r="C19" s="363" t="str">
        <f t="shared" ref="C19:I19" si="3">IF(C18=0,"","post bal.")</f>
        <v/>
      </c>
      <c r="D19" s="363" t="str">
        <f t="shared" si="3"/>
        <v/>
      </c>
      <c r="E19" s="363" t="str">
        <f t="shared" si="3"/>
        <v/>
      </c>
      <c r="F19" s="363" t="str">
        <f t="shared" si="3"/>
        <v/>
      </c>
      <c r="G19" s="363" t="str">
        <f t="shared" si="3"/>
        <v/>
      </c>
      <c r="H19" s="363" t="str">
        <f t="shared" si="3"/>
        <v/>
      </c>
      <c r="I19" s="363" t="str">
        <f t="shared" si="3"/>
        <v/>
      </c>
      <c r="J19" s="10"/>
      <c r="K19" s="240"/>
      <c r="L19" s="315">
        <f>SUM(B12:J12,B20:J20)</f>
        <v>0</v>
      </c>
    </row>
    <row r="20" spans="1:107" s="278" customFormat="1" ht="7.5" hidden="1" thickTop="1">
      <c r="B20" s="292">
        <f t="shared" ref="B20:J20" si="4">IF(B19="post bal.",B18,0)</f>
        <v>0</v>
      </c>
      <c r="C20" s="292">
        <f t="shared" si="4"/>
        <v>0</v>
      </c>
      <c r="D20" s="292">
        <f t="shared" si="4"/>
        <v>0</v>
      </c>
      <c r="E20" s="292">
        <f t="shared" si="4"/>
        <v>0</v>
      </c>
      <c r="F20" s="292">
        <f t="shared" si="4"/>
        <v>0</v>
      </c>
      <c r="G20" s="292">
        <f t="shared" si="4"/>
        <v>0</v>
      </c>
      <c r="H20" s="292">
        <f t="shared" si="4"/>
        <v>0</v>
      </c>
      <c r="I20" s="292">
        <f t="shared" si="4"/>
        <v>0</v>
      </c>
      <c r="J20" s="292">
        <f t="shared" si="4"/>
        <v>0</v>
      </c>
    </row>
    <row r="21" spans="1:107" ht="7.5" thickTop="1"/>
    <row r="22" spans="1:107" ht="23" thickBot="1">
      <c r="A22" s="822" t="str">
        <f>CONCATENATE(Summary!$B$1," PROVISIONS FOR INCOME /EXPENSES OF YEAR ", Summary!$B$1-1)</f>
        <v>2019 PROVISIONS FOR INCOME /EXPENSES OF YEAR 2018</v>
      </c>
      <c r="B22" s="26"/>
      <c r="C22" s="26"/>
      <c r="D22" s="36"/>
      <c r="E22" s="26"/>
      <c r="F22" s="26"/>
      <c r="G22" s="26"/>
      <c r="H22" s="26"/>
      <c r="I22" s="26"/>
      <c r="J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</row>
    <row r="23" spans="1:107" ht="11.5" thickTop="1" thickBot="1">
      <c r="A23" s="11" t="s">
        <v>16</v>
      </c>
    </row>
    <row r="24" spans="1:107" ht="7.5" thickTop="1">
      <c r="A24" s="401" t="s">
        <v>155</v>
      </c>
      <c r="B24" s="859" t="s">
        <v>120</v>
      </c>
      <c r="C24" s="446" t="str">
        <f>IF(C23=0,"","post bal.")</f>
        <v/>
      </c>
      <c r="D24" s="447"/>
      <c r="E24" s="405"/>
      <c r="F24" s="519"/>
      <c r="G24" s="139" t="s">
        <v>85</v>
      </c>
      <c r="H24" s="137" t="s">
        <v>87</v>
      </c>
      <c r="I24" s="136" t="s">
        <v>86</v>
      </c>
    </row>
    <row r="25" spans="1:107" s="14" customFormat="1" ht="7.5" thickBot="1">
      <c r="A25" s="402" t="s">
        <v>154</v>
      </c>
      <c r="B25" s="429"/>
      <c r="C25" s="429"/>
      <c r="D25" s="429"/>
      <c r="E25" s="429"/>
      <c r="F25" s="448"/>
      <c r="G25" s="140" t="s">
        <v>86</v>
      </c>
      <c r="H25" s="138" t="s">
        <v>86</v>
      </c>
      <c r="I25" s="141" t="s">
        <v>88</v>
      </c>
    </row>
    <row r="26" spans="1:107" s="76" customFormat="1" ht="7.5" thickTop="1">
      <c r="A26" s="627" t="s">
        <v>250</v>
      </c>
      <c r="B26" s="375">
        <v>171.37</v>
      </c>
      <c r="C26" s="375"/>
      <c r="D26" s="375"/>
      <c r="E26" s="375"/>
      <c r="F26" s="449"/>
      <c r="G26" s="410">
        <f>SUM(B26:F26)</f>
        <v>171.37</v>
      </c>
      <c r="H26" s="422">
        <f>123.37+48</f>
        <v>171.37</v>
      </c>
      <c r="I26" s="423">
        <f>H26-SUM(B26:F26)</f>
        <v>0</v>
      </c>
    </row>
    <row r="27" spans="1:107" s="76" customFormat="1">
      <c r="A27" s="404"/>
      <c r="B27" s="428"/>
      <c r="C27" s="428"/>
      <c r="D27" s="428"/>
      <c r="E27" s="428"/>
      <c r="F27" s="450"/>
      <c r="G27" s="413"/>
      <c r="H27" s="424"/>
      <c r="I27" s="415"/>
    </row>
    <row r="28" spans="1:107" s="76" customFormat="1">
      <c r="A28" s="404"/>
      <c r="B28" s="428"/>
      <c r="C28" s="428"/>
      <c r="D28" s="428"/>
      <c r="E28" s="428"/>
      <c r="F28" s="450"/>
      <c r="G28" s="413"/>
      <c r="H28" s="424"/>
      <c r="I28" s="415"/>
    </row>
    <row r="29" spans="1:107" s="76" customFormat="1">
      <c r="A29" s="518"/>
      <c r="B29" s="428"/>
      <c r="C29" s="428"/>
      <c r="D29" s="428"/>
      <c r="E29" s="428"/>
      <c r="F29" s="450"/>
      <c r="G29" s="413"/>
      <c r="H29" s="424"/>
      <c r="I29" s="415"/>
    </row>
    <row r="30" spans="1:107" s="76" customFormat="1">
      <c r="A30" s="518"/>
      <c r="B30" s="379"/>
      <c r="C30" s="379"/>
      <c r="D30" s="379"/>
      <c r="E30" s="379"/>
      <c r="F30" s="451"/>
      <c r="G30" s="413">
        <f>SUM(B30:F30)</f>
        <v>0</v>
      </c>
      <c r="H30" s="424"/>
      <c r="I30" s="415">
        <f>H30-SUM(B30:F30)</f>
        <v>0</v>
      </c>
    </row>
    <row r="31" spans="1:107" s="76" customFormat="1" ht="7.5" thickBot="1">
      <c r="A31" s="403"/>
      <c r="B31" s="452"/>
      <c r="C31" s="452"/>
      <c r="D31" s="452"/>
      <c r="E31" s="452"/>
      <c r="F31" s="453"/>
      <c r="G31" s="425">
        <f>SUM(B31:F31)</f>
        <v>0</v>
      </c>
      <c r="H31" s="426"/>
      <c r="I31" s="427"/>
    </row>
    <row r="32" spans="1:107" s="76" customFormat="1" ht="11.5" thickTop="1" thickBot="1">
      <c r="A32" s="391" t="s">
        <v>83</v>
      </c>
      <c r="B32" s="176">
        <f t="shared" ref="B32:I32" si="5">SUM(B26:B31)</f>
        <v>171.37</v>
      </c>
      <c r="C32" s="176">
        <f t="shared" si="5"/>
        <v>0</v>
      </c>
      <c r="D32" s="176">
        <f t="shared" si="5"/>
        <v>0</v>
      </c>
      <c r="E32" s="176">
        <f t="shared" si="5"/>
        <v>0</v>
      </c>
      <c r="F32" s="176">
        <f t="shared" si="5"/>
        <v>0</v>
      </c>
      <c r="G32" s="392">
        <f t="shared" si="5"/>
        <v>171.37</v>
      </c>
      <c r="H32" s="393">
        <f t="shared" si="5"/>
        <v>171.37</v>
      </c>
      <c r="I32" s="394">
        <f t="shared" si="5"/>
        <v>0</v>
      </c>
    </row>
    <row r="33" spans="1:12" s="97" customFormat="1" ht="8" thickTop="1" thickBot="1">
      <c r="A33" s="96" t="s">
        <v>156</v>
      </c>
      <c r="B33" s="363" t="s">
        <v>253</v>
      </c>
      <c r="C33" s="363" t="str">
        <f>IF(C32=0,"","post bal.")</f>
        <v/>
      </c>
      <c r="D33" s="363" t="str">
        <f>IF(D32=0,"","post bal.")</f>
        <v/>
      </c>
      <c r="E33" s="363" t="str">
        <f>IF(E32=0,"","post bal.")</f>
        <v/>
      </c>
      <c r="F33" s="363" t="str">
        <f>IF(F32=0,"","post bal.")</f>
        <v/>
      </c>
      <c r="G33" s="99"/>
      <c r="H33" s="151"/>
      <c r="I33" s="151"/>
      <c r="L33" s="314">
        <f>SUM(B34:H34)</f>
        <v>0</v>
      </c>
    </row>
    <row r="34" spans="1:12" s="268" customFormat="1" ht="7.5" hidden="1" thickTop="1">
      <c r="A34" s="288"/>
      <c r="B34" s="288">
        <f>IF(OR(B33="post bal.",B33="Carried fwd"),B32,0)</f>
        <v>0</v>
      </c>
      <c r="C34" s="288">
        <f>IF(C33="post bal.",C32,0)</f>
        <v>0</v>
      </c>
      <c r="D34" s="288">
        <f>IF(OR(D33="post bal.",D33="Carried fwd"),D32,0)</f>
        <v>0</v>
      </c>
      <c r="E34" s="288">
        <f>IF(OR(E33="post bal.",E33="Carried fwd"),E32,0)</f>
        <v>0</v>
      </c>
      <c r="F34" s="288">
        <f>IF(OR(F33="post bal.",F33="Carried fwd"),F32,0)</f>
        <v>0</v>
      </c>
      <c r="G34" s="269">
        <f>IF(G33="post bal.",G32,0)</f>
        <v>0</v>
      </c>
    </row>
    <row r="35" spans="1:12" ht="8" thickTop="1" thickBot="1"/>
    <row r="36" spans="1:12" ht="11.5" thickTop="1" thickBot="1">
      <c r="A36" s="11" t="s">
        <v>37</v>
      </c>
      <c r="C36" s="2"/>
      <c r="D36" s="2"/>
      <c r="E36" s="2"/>
      <c r="F36" s="2"/>
      <c r="G36" s="2"/>
    </row>
    <row r="37" spans="1:12" ht="7.5" thickTop="1">
      <c r="A37" s="401" t="s">
        <v>155</v>
      </c>
      <c r="B37" s="552" t="s">
        <v>247</v>
      </c>
      <c r="C37" s="552" t="s">
        <v>119</v>
      </c>
      <c r="D37" s="405"/>
      <c r="E37" s="405"/>
      <c r="F37" s="519"/>
      <c r="G37" s="139" t="str">
        <f>G$24</f>
        <v xml:space="preserve">Actual </v>
      </c>
      <c r="H37" s="184" t="s">
        <v>87</v>
      </c>
      <c r="I37" s="136" t="s">
        <v>89</v>
      </c>
    </row>
    <row r="38" spans="1:12" ht="7.5" thickBot="1">
      <c r="A38" s="406" t="s">
        <v>154</v>
      </c>
      <c r="B38" s="407"/>
      <c r="C38" s="429"/>
      <c r="D38" s="407"/>
      <c r="E38" s="407"/>
      <c r="F38" s="408"/>
      <c r="G38" s="150" t="s">
        <v>89</v>
      </c>
      <c r="H38" s="185" t="s">
        <v>89</v>
      </c>
      <c r="I38" s="149" t="str">
        <f>I$25</f>
        <v>Shortfall</v>
      </c>
    </row>
    <row r="39" spans="1:12" s="76" customFormat="1" ht="7.5" thickTop="1">
      <c r="A39" s="627" t="s">
        <v>249</v>
      </c>
      <c r="B39" s="409">
        <v>22.14</v>
      </c>
      <c r="C39" s="428"/>
      <c r="D39" s="409"/>
      <c r="E39" s="409"/>
      <c r="F39" s="409"/>
      <c r="G39" s="410">
        <f>SUM(B39:F39)</f>
        <v>22.14</v>
      </c>
      <c r="H39" s="411">
        <v>40</v>
      </c>
      <c r="I39" s="412">
        <f>H39-SUM(B39:F39)</f>
        <v>17.86</v>
      </c>
    </row>
    <row r="40" spans="1:12" s="76" customFormat="1">
      <c r="A40" s="860" t="s">
        <v>251</v>
      </c>
      <c r="B40" s="379"/>
      <c r="C40" s="379">
        <v>100</v>
      </c>
      <c r="D40" s="379"/>
      <c r="E40" s="379"/>
      <c r="F40" s="379"/>
      <c r="G40" s="413">
        <f>SUM(B40:F40)</f>
        <v>100</v>
      </c>
      <c r="H40" s="414">
        <v>100</v>
      </c>
      <c r="I40" s="415">
        <f>H40-SUM(B40:F40)</f>
        <v>0</v>
      </c>
    </row>
    <row r="41" spans="1:12" s="76" customFormat="1">
      <c r="A41" s="416"/>
      <c r="B41" s="379"/>
      <c r="C41" s="379"/>
      <c r="D41" s="379"/>
      <c r="E41" s="379"/>
      <c r="F41" s="379"/>
      <c r="G41" s="413">
        <f>SUM(B41:F41)</f>
        <v>0</v>
      </c>
      <c r="H41" s="414"/>
      <c r="I41" s="415">
        <f>H41-SUM(B41:F41)</f>
        <v>0</v>
      </c>
    </row>
    <row r="42" spans="1:12" s="76" customFormat="1">
      <c r="A42" s="518"/>
      <c r="B42" s="379"/>
      <c r="C42" s="379"/>
      <c r="D42" s="379"/>
      <c r="E42" s="379"/>
      <c r="F42" s="379"/>
      <c r="G42" s="413">
        <f>SUM(B42:F42)</f>
        <v>0</v>
      </c>
      <c r="H42" s="414"/>
      <c r="I42" s="415">
        <f>H42-SUM(B42:F42)</f>
        <v>0</v>
      </c>
    </row>
    <row r="43" spans="1:12" s="76" customFormat="1">
      <c r="A43" s="417"/>
      <c r="B43" s="418"/>
      <c r="C43" s="418"/>
      <c r="D43" s="418"/>
      <c r="E43" s="418"/>
      <c r="F43" s="418"/>
      <c r="G43" s="419">
        <f>SUM(B43:F43)</f>
        <v>0</v>
      </c>
      <c r="H43" s="420"/>
      <c r="I43" s="421">
        <f>H43-SUM(B43:F43)</f>
        <v>0</v>
      </c>
    </row>
    <row r="44" spans="1:12" s="76" customFormat="1" ht="11" thickBot="1">
      <c r="A44" s="145" t="s">
        <v>84</v>
      </c>
      <c r="B44" s="146">
        <f t="shared" ref="B44:I44" si="6">SUM(B39:B43)</f>
        <v>22.14</v>
      </c>
      <c r="C44" s="146">
        <f t="shared" si="6"/>
        <v>100</v>
      </c>
      <c r="D44" s="146">
        <f t="shared" si="6"/>
        <v>0</v>
      </c>
      <c r="E44" s="146">
        <f t="shared" si="6"/>
        <v>0</v>
      </c>
      <c r="F44" s="146">
        <f t="shared" si="6"/>
        <v>0</v>
      </c>
      <c r="G44" s="147">
        <f t="shared" si="6"/>
        <v>122.14</v>
      </c>
      <c r="H44" s="186">
        <f t="shared" si="6"/>
        <v>140</v>
      </c>
      <c r="I44" s="148">
        <f t="shared" si="6"/>
        <v>17.86</v>
      </c>
    </row>
    <row r="45" spans="1:12" s="210" customFormat="1" ht="8" thickTop="1" thickBot="1">
      <c r="A45" s="858" t="s">
        <v>248</v>
      </c>
      <c r="B45" s="363" t="s">
        <v>252</v>
      </c>
      <c r="C45" s="363" t="s">
        <v>253</v>
      </c>
      <c r="D45" s="363" t="str">
        <f>IF(D44=0,"","post bal.")</f>
        <v/>
      </c>
      <c r="E45" s="363" t="str">
        <f>IF(E44=0,"","post bal.")</f>
        <v/>
      </c>
      <c r="F45" s="363" t="str">
        <f>IF(F44=0,"","post bal.")</f>
        <v/>
      </c>
      <c r="G45" s="216"/>
      <c r="H45" s="240"/>
      <c r="I45" s="240"/>
      <c r="L45" s="314">
        <f>-SUM(B46:H46)</f>
        <v>0</v>
      </c>
    </row>
    <row r="46" spans="1:12" s="268" customFormat="1" ht="7.5" hidden="1" thickTop="1">
      <c r="A46" s="288"/>
      <c r="B46" s="288">
        <f>IF(B45="post bal.",B44,0)</f>
        <v>0</v>
      </c>
      <c r="C46" s="288">
        <f>IF(C45="post bal.",C44,0)</f>
        <v>0</v>
      </c>
      <c r="D46" s="288">
        <f>IF(D45="post bal.",D44,0)</f>
        <v>0</v>
      </c>
      <c r="E46" s="288">
        <f>IF(E45="post bal.",E44,0)</f>
        <v>0</v>
      </c>
      <c r="F46" s="288">
        <f>IF(F45="post bal.",F44,0)</f>
        <v>0</v>
      </c>
      <c r="H46" s="269"/>
    </row>
    <row r="47" spans="1:12" ht="7.5" thickTop="1"/>
    <row r="50" spans="16:16">
      <c r="P50" s="333"/>
    </row>
  </sheetData>
  <phoneticPr fontId="9" type="noConversion"/>
  <pageMargins left="0.35433070866141736" right="0.35433070866141736" top="0.27559055118110237" bottom="0.27559055118110237" header="0" footer="0.27559055118110237"/>
  <pageSetup paperSize="9" scale="105" orientation="landscape" verticalDpi="4" r:id="rId1"/>
  <headerFooter alignWithMargins="0"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Di's Summary</vt:lpstr>
      <vt:lpstr>Summary</vt:lpstr>
      <vt:lpstr>TRIP_ACCOUNTS</vt:lpstr>
      <vt:lpstr>MAINTENANCE</vt:lpstr>
      <vt:lpstr>LATE BANKING</vt:lpstr>
      <vt:lpstr>OTHER COSTS</vt:lpstr>
      <vt:lpstr>PROVISIONS &amp; SUBS</vt:lpstr>
      <vt:lpstr>'Di''s Summary'!Print_Area</vt:lpstr>
      <vt:lpstr>'LATE BANKING'!Print_Area</vt:lpstr>
      <vt:lpstr>MAINTENANCE!Print_Area</vt:lpstr>
      <vt:lpstr>'OTHER COSTS'!Print_Area</vt:lpstr>
      <vt:lpstr>'PROVISIONS &amp; SUBS'!Print_Area</vt:lpstr>
      <vt:lpstr>Summary!Print_Area</vt:lpstr>
      <vt:lpstr>TRIP_ACCOUNTS!Print_Area</vt:lpstr>
      <vt:lpstr>'LATE BANKING'!Print_Titles</vt:lpstr>
      <vt:lpstr>MAINTENANCE!Print_Titles</vt:lpstr>
      <vt:lpstr>'OTHER COSTS'!Print_Titles</vt:lpstr>
      <vt:lpstr>'PROVISIONS &amp; SUBS'!Print_Titles</vt:lpstr>
      <vt:lpstr>Summary!Print_Titles</vt:lpstr>
      <vt:lpstr>TRIP_ACCOUNTS!Print_Titles</vt:lpstr>
      <vt:lpstr>SUMMARY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Broughton</dc:creator>
  <cp:lastModifiedBy>Phil</cp:lastModifiedBy>
  <cp:lastPrinted>2019-01-28T09:58:24Z</cp:lastPrinted>
  <dcterms:created xsi:type="dcterms:W3CDTF">2001-11-01T11:07:00Z</dcterms:created>
  <dcterms:modified xsi:type="dcterms:W3CDTF">2020-02-23T11:47:54Z</dcterms:modified>
</cp:coreProperties>
</file>